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\Documents\"/>
    </mc:Choice>
  </mc:AlternateContent>
  <xr:revisionPtr revIDLastSave="0" documentId="13_ncr:1_{1CBFD9EF-A7C3-49FC-8457-EFADF66DFEAB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LIQUIDA" sheetId="6" r:id="rId1"/>
    <sheet name="Integrado" sheetId="10" r:id="rId2"/>
    <sheet name="Salario Integrado" sheetId="8" state="hidden" r:id="rId3"/>
    <sheet name="Adeudos" sheetId="7" state="hidden" r:id="rId4"/>
    <sheet name="Salarios Minimos" sheetId="9" state="hidden" r:id="rId5"/>
  </sheets>
  <definedNames>
    <definedName name="_Regression_Int" localSheetId="0" hidden="1">1</definedName>
    <definedName name="Acciones">LIQUIDA!$AC$1:$AC$4</definedName>
    <definedName name="Acciones1">LIQUIDA!$AC$1:$AC$5</definedName>
    <definedName name="_xlnm.Print_Area" localSheetId="0">LIQUIDA!$A$1:$F$54</definedName>
    <definedName name="Print_Area_MI" localSheetId="0">LIQUIDA!$B$16:$F$56</definedName>
    <definedName name="Reinstalacion">LIQUIDA!$AC$1:$AC$5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0" l="1"/>
  <c r="C22" i="6" s="1"/>
  <c r="AA3" i="6"/>
  <c r="C8" i="6" l="1"/>
  <c r="B44" i="6" l="1"/>
  <c r="B43" i="6"/>
  <c r="B42" i="6"/>
  <c r="T84" i="6"/>
  <c r="T78" i="6"/>
  <c r="X79" i="6"/>
  <c r="U69" i="6"/>
  <c r="X52" i="6"/>
  <c r="X51" i="6"/>
  <c r="X50" i="6"/>
  <c r="X53" i="6" s="1"/>
  <c r="X54" i="6" s="1"/>
  <c r="U70" i="6" s="1"/>
  <c r="U61" i="6"/>
  <c r="U56" i="6"/>
  <c r="U50" i="6"/>
  <c r="U51" i="6"/>
  <c r="B23" i="6"/>
  <c r="B24" i="6"/>
  <c r="D17" i="6"/>
  <c r="H4" i="9"/>
  <c r="E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40" i="8"/>
  <c r="E40" i="7"/>
  <c r="B40" i="7"/>
  <c r="D18" i="6"/>
  <c r="AA10" i="6"/>
  <c r="B22" i="6"/>
  <c r="D27" i="6"/>
  <c r="AD34" i="6"/>
  <c r="AC31" i="6"/>
  <c r="AD31" i="6" s="1"/>
  <c r="B48" i="6"/>
  <c r="D23" i="6"/>
  <c r="B47" i="6"/>
  <c r="B46" i="6"/>
  <c r="B45" i="6"/>
  <c r="B41" i="6"/>
  <c r="B40" i="6"/>
  <c r="B39" i="6"/>
  <c r="B38" i="6"/>
  <c r="B37" i="6"/>
  <c r="B36" i="6"/>
  <c r="B35" i="6"/>
  <c r="B34" i="6"/>
  <c r="B33" i="6"/>
  <c r="E30" i="6"/>
  <c r="D29" i="6"/>
  <c r="C30" i="6"/>
  <c r="B30" i="6"/>
  <c r="D26" i="6"/>
  <c r="B26" i="6"/>
  <c r="B27" i="6"/>
  <c r="D22" i="6"/>
  <c r="D21" i="6"/>
  <c r="D20" i="6"/>
  <c r="D19" i="6"/>
  <c r="B21" i="6"/>
  <c r="B20" i="6"/>
  <c r="B18" i="6"/>
  <c r="B17" i="6"/>
  <c r="B19" i="6"/>
  <c r="Y20" i="6"/>
  <c r="X20" i="6"/>
  <c r="W20" i="6"/>
  <c r="V20" i="6"/>
  <c r="U20" i="6"/>
  <c r="AC5" i="6"/>
  <c r="AC4" i="6"/>
  <c r="AC3" i="6"/>
  <c r="AC2" i="6"/>
  <c r="AC1" i="6"/>
  <c r="B15" i="6"/>
  <c r="E13" i="6"/>
  <c r="B14" i="6"/>
  <c r="B13" i="6"/>
  <c r="Z30" i="6"/>
  <c r="Z29" i="6"/>
  <c r="D15" i="6"/>
  <c r="D50" i="6"/>
  <c r="AF4" i="6"/>
  <c r="AG4" i="6" s="1"/>
  <c r="W27" i="6"/>
  <c r="V27" i="6"/>
  <c r="U27" i="6"/>
  <c r="AA6" i="6"/>
  <c r="AA32" i="6"/>
  <c r="AA30" i="6"/>
  <c r="AB33" i="6" s="1"/>
  <c r="AB34" i="6" s="1"/>
  <c r="AC35" i="6" s="1"/>
  <c r="V22" i="6"/>
  <c r="Y23" i="6"/>
  <c r="X23" i="6"/>
  <c r="W23" i="6"/>
  <c r="V23" i="6"/>
  <c r="AA23" i="6"/>
  <c r="C31" i="6" s="1"/>
  <c r="Y22" i="6"/>
  <c r="X22" i="6"/>
  <c r="W22" i="6"/>
  <c r="W28" i="6" s="1"/>
  <c r="E27" i="6"/>
  <c r="D48" i="6"/>
  <c r="U71" i="6" l="1"/>
  <c r="W36" i="6" s="1"/>
  <c r="X78" i="6"/>
  <c r="X80" i="6" s="1"/>
  <c r="U78" i="6" s="1"/>
  <c r="U39" i="6" s="1"/>
  <c r="U62" i="6"/>
  <c r="U63" i="6" s="1"/>
  <c r="U53" i="6"/>
  <c r="U55" i="6" s="1"/>
  <c r="U38" i="6" s="1"/>
  <c r="U22" i="6"/>
  <c r="V36" i="6"/>
  <c r="U36" i="6"/>
  <c r="H3" i="9"/>
  <c r="H5" i="9" s="1"/>
  <c r="AA34" i="6"/>
  <c r="AA36" i="6" s="1"/>
  <c r="AB35" i="6" s="1"/>
  <c r="AB36" i="6" s="1"/>
  <c r="AA39" i="6" s="1"/>
  <c r="V32" i="6" s="1"/>
  <c r="AB23" i="6"/>
  <c r="AC30" i="6"/>
  <c r="V24" i="6"/>
  <c r="W24" i="6"/>
  <c r="W25" i="6" s="1"/>
  <c r="W31" i="6" s="1"/>
  <c r="U24" i="6"/>
  <c r="U25" i="6" s="1"/>
  <c r="Y36" i="6" l="1"/>
  <c r="U54" i="6"/>
  <c r="U37" i="6" s="1"/>
  <c r="D44" i="6" s="1"/>
  <c r="H10" i="9"/>
  <c r="H11" i="9"/>
  <c r="X36" i="6"/>
  <c r="U84" i="6"/>
  <c r="U40" i="6" s="1"/>
  <c r="D42" i="6" s="1"/>
  <c r="U28" i="6"/>
  <c r="B31" i="6"/>
  <c r="U52" i="6" s="1"/>
  <c r="X38" i="6"/>
  <c r="W34" i="6"/>
  <c r="W35" i="6" s="1"/>
  <c r="V34" i="6"/>
  <c r="V35" i="6" s="1"/>
  <c r="Y34" i="6"/>
  <c r="Y35" i="6" s="1"/>
  <c r="W38" i="6"/>
  <c r="U34" i="6"/>
  <c r="U35" i="6" s="1"/>
  <c r="X34" i="6"/>
  <c r="X35" i="6" s="1"/>
  <c r="V25" i="6"/>
  <c r="V31" i="6" s="1"/>
  <c r="D31" i="6"/>
  <c r="V38" i="6"/>
  <c r="Y38" i="6"/>
  <c r="U32" i="6"/>
  <c r="D37" i="6" s="1"/>
  <c r="W32" i="6"/>
  <c r="Y37" i="6"/>
  <c r="W37" i="6"/>
  <c r="X37" i="6"/>
  <c r="AC22" i="6"/>
  <c r="AC23" i="6"/>
  <c r="U23" i="6" s="1"/>
  <c r="D41" i="6" s="1"/>
  <c r="D47" i="6"/>
  <c r="D46" i="6"/>
  <c r="D38" i="6"/>
  <c r="D39" i="6"/>
  <c r="D40" i="6" s="1"/>
  <c r="D34" i="6"/>
  <c r="D45" i="6"/>
  <c r="D33" i="6"/>
  <c r="D43" i="6"/>
  <c r="AC33" i="6"/>
  <c r="AC34" i="6" s="1"/>
  <c r="AC36" i="6" s="1"/>
  <c r="AD30" i="6"/>
  <c r="AD33" i="6" s="1"/>
  <c r="AD35" i="6" s="1"/>
  <c r="U31" i="6"/>
  <c r="V37" i="6" l="1"/>
  <c r="AA1" i="6"/>
  <c r="D36" i="6"/>
  <c r="E31" i="6"/>
  <c r="AC39" i="6"/>
  <c r="W29" i="6" l="1"/>
  <c r="U29" i="6"/>
  <c r="V29" i="6"/>
  <c r="X29" i="6"/>
  <c r="Y29" i="6" l="1"/>
  <c r="X30" i="6"/>
  <c r="X42" i="6"/>
  <c r="U30" i="6"/>
  <c r="U42" i="6"/>
  <c r="D35" i="6" s="1"/>
  <c r="E50" i="6" s="1"/>
  <c r="AE5" i="6"/>
  <c r="V42" i="6"/>
  <c r="V30" i="6"/>
  <c r="W42" i="6"/>
  <c r="W30" i="6"/>
  <c r="Y42" i="6" l="1"/>
  <c r="Y30" i="6"/>
</calcChain>
</file>

<file path=xl/sharedStrings.xml><?xml version="1.0" encoding="utf-8"?>
<sst xmlns="http://schemas.openxmlformats.org/spreadsheetml/2006/main" count="110" uniqueCount="90">
  <si>
    <t xml:space="preserve"> </t>
  </si>
  <si>
    <t xml:space="preserve">  </t>
  </si>
  <si>
    <t xml:space="preserve">TOTAL:   </t>
  </si>
  <si>
    <t>VEINTE DIAS POR AÑO         :</t>
  </si>
  <si>
    <t>INTERESES                             :</t>
  </si>
  <si>
    <t>SALARIOS DEVENGADOS    :</t>
  </si>
  <si>
    <t>VACACIONES PEND.             :</t>
  </si>
  <si>
    <t>PRIMA VACACIONAL            :</t>
  </si>
  <si>
    <t>HORAS EXTRAS DOBLES     :</t>
  </si>
  <si>
    <t>AGUINALDO                           :</t>
  </si>
  <si>
    <t>HORAS EXTRAS TRIPLES     :</t>
  </si>
  <si>
    <t>S.CAIDOS LEY ACTUAL          :</t>
  </si>
  <si>
    <t>INDEMNIZACION CONST.     :</t>
  </si>
  <si>
    <t>S.CAIDOS LEY ANTERIOR      :</t>
  </si>
  <si>
    <t>ANTIGUEDAD                  :</t>
  </si>
  <si>
    <t>AGUINALDO                    :</t>
  </si>
  <si>
    <t xml:space="preserve">SALARIOS CAIDOS               : </t>
  </si>
  <si>
    <t>Monto 15 Meses</t>
  </si>
  <si>
    <t>Meses</t>
  </si>
  <si>
    <t>Inicio</t>
  </si>
  <si>
    <t>Concluyen</t>
  </si>
  <si>
    <t>Monto Int</t>
  </si>
  <si>
    <t xml:space="preserve">              WWW.LEGALMEX.COM</t>
  </si>
  <si>
    <t>MXN</t>
  </si>
  <si>
    <t>USD</t>
  </si>
  <si>
    <t>Currency</t>
  </si>
  <si>
    <t>Total</t>
  </si>
  <si>
    <t>PRIMA ANTIGUEDAD USD   :</t>
  </si>
  <si>
    <t>PRIMA ANTIGUEDAD MXN  :</t>
  </si>
  <si>
    <t>PRIMA ANTIGUEDAD FINAL:</t>
  </si>
  <si>
    <t>Reinstalacion</t>
  </si>
  <si>
    <t>Laudo Ajustado</t>
  </si>
  <si>
    <t>Ley Anterior</t>
  </si>
  <si>
    <t>Ley Actual</t>
  </si>
  <si>
    <t>Horas Extras:</t>
  </si>
  <si>
    <t>Intereses:</t>
  </si>
  <si>
    <t>Dias</t>
  </si>
  <si>
    <t>Monto Ajuste a Laudo</t>
  </si>
  <si>
    <t>Sal/Min</t>
  </si>
  <si>
    <t>Ley Nueva</t>
  </si>
  <si>
    <t>Accion Principal</t>
  </si>
  <si>
    <t xml:space="preserve">No hay Laudo </t>
  </si>
  <si>
    <t>Prescripcion</t>
  </si>
  <si>
    <t>Incrementa Laudo</t>
  </si>
  <si>
    <t>English</t>
  </si>
  <si>
    <t>Periodo con Presc.</t>
  </si>
  <si>
    <t>CONCEPTO</t>
  </si>
  <si>
    <t>MONTO</t>
  </si>
  <si>
    <t>ADEUDOS AL TRABAJADOR</t>
  </si>
  <si>
    <t>ADEUDOS DEL TRABAJADOR</t>
  </si>
  <si>
    <t>TOTAL</t>
  </si>
  <si>
    <t>Salario Integrado</t>
  </si>
  <si>
    <t>FORMULA PARA SU CALCULO</t>
  </si>
  <si>
    <t>SALARIOS MINIMOS</t>
  </si>
  <si>
    <t>A CONSIDERAR</t>
  </si>
  <si>
    <t>Salario Minimo:</t>
  </si>
  <si>
    <t>Vigencia Programa</t>
  </si>
  <si>
    <t>Devengadas Post</t>
  </si>
  <si>
    <t>PRESCRIPCION HORAS EXTRAS</t>
  </si>
  <si>
    <t>FECHA PRESENTACION DEM :</t>
  </si>
  <si>
    <t>Fecha de baja :</t>
  </si>
  <si>
    <t>DOBLES                                                     :</t>
  </si>
  <si>
    <t>TRIPLES                                                     :</t>
  </si>
  <si>
    <t xml:space="preserve">AJUSTADAS                                : </t>
  </si>
  <si>
    <t>RECLAMADAS                            :</t>
  </si>
  <si>
    <t>SEMANAS LABORADAS           :</t>
  </si>
  <si>
    <t>SEMANAS NO PRESCRITAS    :</t>
  </si>
  <si>
    <t>Fecha de Ingreso:</t>
  </si>
  <si>
    <t>VALOR HORA EXTRA                            :</t>
  </si>
  <si>
    <t>PRESCRIPCION VACACIONES</t>
  </si>
  <si>
    <t>Dias a aplicar</t>
  </si>
  <si>
    <t>MONTO EFECTIVO VACACIONES   :</t>
  </si>
  <si>
    <t>ANIOS NO PRESCRITOS           :</t>
  </si>
  <si>
    <t>RECLAMADAS                           :</t>
  </si>
  <si>
    <t>PRESCRIPCION AGUINALDO</t>
  </si>
  <si>
    <t>RECLAMADOS                           :</t>
  </si>
  <si>
    <t>Fecha de calculo   :</t>
  </si>
  <si>
    <t>ADELANTADAS:</t>
  </si>
  <si>
    <t>Diferencia en dias:</t>
  </si>
  <si>
    <t>AGUINALDO POST:</t>
  </si>
  <si>
    <t>P/VACIONAL POST ;</t>
  </si>
  <si>
    <t>AGUINALDO POST                 :</t>
  </si>
  <si>
    <t>P/VACACIONAL POST          :</t>
  </si>
  <si>
    <t>Devengadas Posteriores :</t>
  </si>
  <si>
    <t>Zona Frontera</t>
  </si>
  <si>
    <t>Zona Fronteriza</t>
  </si>
  <si>
    <t>Monto</t>
  </si>
  <si>
    <t>Periodicidad</t>
  </si>
  <si>
    <t>Diario</t>
  </si>
  <si>
    <t>Salario Diario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</si>
</sst>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dd\-mmm\-yy_)"/>
    <numFmt numFmtId="166" formatCode="0.00000000_)"/>
    <numFmt numFmtId="167" formatCode="0.0000"/>
    <numFmt numFmtId="168" formatCode="[$-409]d\-mmm\-yy;@"/>
    <numFmt numFmtId="169" formatCode="0.00000"/>
    <numFmt numFmtId="170" formatCode="&quot;$&quot;#,##0.00"/>
    <numFmt numFmtId="171" formatCode="_([$$-409]* #,##0.00_);_([$$-409]* \(#,##0.00\);_([$$-409]* &quot;-&quot;??_);_(@_)"/>
  </numFmts>
  <fonts count="7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2"/>
      <name val="Courier"/>
      <family val="3"/>
    </font>
    <font>
      <sz val="10"/>
      <name val="Arial"/>
      <family val="2"/>
    </font>
    <font>
      <i/>
      <sz val="10"/>
      <color indexed="12"/>
      <name val="Times New Roman"/>
      <family val="1"/>
    </font>
    <font>
      <sz val="10"/>
      <color indexed="12"/>
      <name val="Franklin Gothic Demi Cond"/>
      <family val="2"/>
    </font>
    <font>
      <sz val="8"/>
      <name val="Courier"/>
      <family val="3"/>
    </font>
    <font>
      <sz val="12"/>
      <name val="Courier"/>
      <family val="3"/>
    </font>
    <font>
      <sz val="8"/>
      <color indexed="12"/>
      <name val="Franklin Gothic Demi Cond"/>
      <family val="2"/>
    </font>
    <font>
      <b/>
      <sz val="10"/>
      <name val="Courier"/>
      <family val="3"/>
    </font>
    <font>
      <sz val="9"/>
      <color indexed="12"/>
      <name val="Courier"/>
      <family val="3"/>
    </font>
    <font>
      <sz val="10"/>
      <color indexed="10"/>
      <name val="Franklin Gothic Demi Cond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Courier"/>
      <family val="3"/>
    </font>
    <font>
      <sz val="10"/>
      <color theme="3"/>
      <name val="Franklin Gothic Demi Cond"/>
      <family val="2"/>
    </font>
    <font>
      <b/>
      <sz val="12"/>
      <color theme="3"/>
      <name val="Franklin Gothic Demi Cond"/>
      <family val="2"/>
    </font>
    <font>
      <sz val="10"/>
      <color theme="3"/>
      <name val="Franklin Gothic Demi"/>
      <family val="2"/>
    </font>
    <font>
      <sz val="9"/>
      <color theme="3"/>
      <name val="Franklin Gothic Demi Cond"/>
      <family val="2"/>
    </font>
    <font>
      <sz val="14"/>
      <color theme="5"/>
      <name val="Franklin Gothic Demi Cond"/>
      <family val="2"/>
    </font>
    <font>
      <sz val="9"/>
      <color theme="3"/>
      <name val="Franklin Gothic Demi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sz val="12"/>
      <color theme="3"/>
      <name val="Franklin Gothic Demi Cond"/>
      <family val="2"/>
    </font>
    <font>
      <b/>
      <sz val="10"/>
      <color theme="3"/>
      <name val="Courier"/>
      <family val="3"/>
    </font>
    <font>
      <sz val="10"/>
      <color theme="4" tint="-0.499984740745262"/>
      <name val="Franklin Gothic Demi"/>
      <family val="2"/>
    </font>
    <font>
      <b/>
      <sz val="10"/>
      <color theme="3"/>
      <name val="Franklin Gothic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Franklin Gothic Demi Cond"/>
      <family val="2"/>
    </font>
    <font>
      <b/>
      <sz val="9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3" tint="-0.249977111117893"/>
      <name val="Franklin Gothic Demi Cond"/>
      <family val="2"/>
    </font>
    <font>
      <b/>
      <sz val="10"/>
      <color theme="3"/>
      <name val="Courier"/>
    </font>
    <font>
      <b/>
      <sz val="9"/>
      <color theme="3"/>
      <name val="Franklin Gothic Demi Cond"/>
      <family val="2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Franklin Gothic Demi Cond"/>
      <family val="2"/>
    </font>
    <font>
      <b/>
      <sz val="11"/>
      <color theme="3"/>
      <name val="Franklin Gothic Demi Cond"/>
      <family val="2"/>
    </font>
    <font>
      <sz val="9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b/>
      <sz val="9"/>
      <color theme="4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6" fillId="3" borderId="0" applyNumberFormat="0" applyBorder="0" applyAlignment="0" applyProtection="0"/>
    <xf numFmtId="0" fontId="4" fillId="20" borderId="1" applyNumberFormat="0" applyAlignment="0" applyProtection="0"/>
    <xf numFmtId="16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38" fontId="13" fillId="21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5" fillId="0" borderId="4" applyNumberFormat="0" applyFill="0" applyAlignment="0" applyProtection="0"/>
    <xf numFmtId="10" fontId="13" fillId="22" borderId="5" applyNumberFormat="0" applyBorder="0" applyAlignment="0" applyProtection="0"/>
    <xf numFmtId="37" fontId="14" fillId="0" borderId="0"/>
    <xf numFmtId="0" fontId="12" fillId="0" borderId="0"/>
    <xf numFmtId="0" fontId="15" fillId="0" borderId="0"/>
    <xf numFmtId="0" fontId="7" fillId="20" borderId="6" applyNumberFormat="0" applyAlignment="0" applyProtection="0"/>
    <xf numFmtId="10" fontId="1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4">
    <xf numFmtId="0" fontId="0" fillId="0" borderId="0" xfId="0"/>
    <xf numFmtId="0" fontId="15" fillId="0" borderId="0" xfId="38" applyProtection="1">
      <protection hidden="1"/>
    </xf>
    <xf numFmtId="7" fontId="15" fillId="0" borderId="0" xfId="38" applyNumberFormat="1" applyProtection="1">
      <protection hidden="1"/>
    </xf>
    <xf numFmtId="0" fontId="16" fillId="0" borderId="0" xfId="38" applyFont="1" applyProtection="1">
      <protection hidden="1"/>
    </xf>
    <xf numFmtId="0" fontId="15" fillId="0" borderId="0" xfId="38" applyFont="1" applyFill="1" applyProtection="1">
      <protection hidden="1"/>
    </xf>
    <xf numFmtId="0" fontId="17" fillId="0" borderId="0" xfId="38" applyFont="1" applyFill="1" applyProtection="1">
      <protection hidden="1"/>
    </xf>
    <xf numFmtId="0" fontId="15" fillId="0" borderId="0" xfId="38" applyAlignment="1" applyProtection="1">
      <alignment horizontal="fill"/>
      <protection hidden="1"/>
    </xf>
    <xf numFmtId="0" fontId="18" fillId="0" borderId="0" xfId="38" applyFont="1" applyProtection="1">
      <protection hidden="1"/>
    </xf>
    <xf numFmtId="0" fontId="19" fillId="0" borderId="0" xfId="38" applyFont="1" applyProtection="1">
      <protection hidden="1"/>
    </xf>
    <xf numFmtId="0" fontId="17" fillId="0" borderId="0" xfId="38" applyFont="1" applyProtection="1">
      <protection hidden="1"/>
    </xf>
    <xf numFmtId="0" fontId="20" fillId="0" borderId="0" xfId="38" applyFont="1" applyProtection="1">
      <protection hidden="1"/>
    </xf>
    <xf numFmtId="0" fontId="15" fillId="0" borderId="0" xfId="38" applyAlignment="1" applyProtection="1">
      <alignment horizontal="right"/>
      <protection hidden="1"/>
    </xf>
    <xf numFmtId="0" fontId="15" fillId="0" borderId="0" xfId="38" applyAlignment="1" applyProtection="1">
      <alignment horizontal="left"/>
      <protection hidden="1"/>
    </xf>
    <xf numFmtId="44" fontId="15" fillId="0" borderId="0" xfId="38" applyNumberFormat="1" applyProtection="1">
      <protection hidden="1"/>
    </xf>
    <xf numFmtId="7" fontId="15" fillId="0" borderId="0" xfId="38" applyNumberFormat="1" applyAlignment="1" applyProtection="1">
      <alignment horizontal="left"/>
      <protection hidden="1"/>
    </xf>
    <xf numFmtId="14" fontId="15" fillId="0" borderId="0" xfId="38" applyNumberFormat="1" applyProtection="1">
      <protection hidden="1"/>
    </xf>
    <xf numFmtId="2" fontId="15" fillId="0" borderId="0" xfId="38" applyNumberFormat="1" applyProtection="1">
      <protection hidden="1"/>
    </xf>
    <xf numFmtId="164" fontId="15" fillId="0" borderId="0" xfId="27" applyFont="1" applyAlignment="1" applyProtection="1">
      <alignment horizontal="fill"/>
      <protection hidden="1"/>
    </xf>
    <xf numFmtId="0" fontId="29" fillId="0" borderId="0" xfId="38" applyFont="1" applyProtection="1">
      <protection hidden="1"/>
    </xf>
    <xf numFmtId="0" fontId="30" fillId="0" borderId="0" xfId="38" applyFont="1" applyProtection="1">
      <protection hidden="1"/>
    </xf>
    <xf numFmtId="0" fontId="30" fillId="0" borderId="0" xfId="38" applyFont="1" applyAlignment="1" applyProtection="1">
      <alignment horizontal="left"/>
      <protection hidden="1"/>
    </xf>
    <xf numFmtId="166" fontId="30" fillId="0" borderId="0" xfId="38" applyNumberFormat="1" applyFont="1" applyAlignment="1" applyProtection="1">
      <alignment horizontal="left"/>
      <protection hidden="1"/>
    </xf>
    <xf numFmtId="0" fontId="31" fillId="0" borderId="0" xfId="38" applyFont="1" applyProtection="1">
      <protection hidden="1"/>
    </xf>
    <xf numFmtId="167" fontId="21" fillId="0" borderId="0" xfId="38" applyNumberFormat="1" applyFont="1" applyProtection="1">
      <protection hidden="1"/>
    </xf>
    <xf numFmtId="41" fontId="15" fillId="0" borderId="0" xfId="38" applyNumberFormat="1" applyProtection="1">
      <protection hidden="1"/>
    </xf>
    <xf numFmtId="164" fontId="15" fillId="0" borderId="0" xfId="27" applyFont="1" applyProtection="1">
      <protection hidden="1"/>
    </xf>
    <xf numFmtId="164" fontId="15" fillId="0" borderId="0" xfId="38" applyNumberFormat="1" applyProtection="1">
      <protection hidden="1"/>
    </xf>
    <xf numFmtId="2" fontId="15" fillId="0" borderId="0" xfId="27" applyNumberFormat="1" applyFont="1" applyProtection="1">
      <protection hidden="1"/>
    </xf>
    <xf numFmtId="10" fontId="15" fillId="0" borderId="0" xfId="40" applyFont="1" applyFill="1" applyProtection="1">
      <protection hidden="1"/>
    </xf>
    <xf numFmtId="2" fontId="20" fillId="0" borderId="0" xfId="38" applyNumberFormat="1" applyFont="1" applyProtection="1">
      <protection hidden="1"/>
    </xf>
    <xf numFmtId="1" fontId="15" fillId="0" borderId="0" xfId="38" applyNumberFormat="1" applyProtection="1">
      <protection hidden="1"/>
    </xf>
    <xf numFmtId="44" fontId="24" fillId="0" borderId="0" xfId="29" applyFont="1" applyAlignment="1" applyProtection="1">
      <alignment horizontal="right"/>
      <protection hidden="1"/>
    </xf>
    <xf numFmtId="0" fontId="24" fillId="0" borderId="0" xfId="38" applyFont="1" applyAlignment="1" applyProtection="1">
      <alignment horizontal="right" vertical="center"/>
      <protection hidden="1"/>
    </xf>
    <xf numFmtId="0" fontId="32" fillId="0" borderId="0" xfId="38" applyFont="1" applyProtection="1">
      <protection hidden="1"/>
    </xf>
    <xf numFmtId="0" fontId="30" fillId="0" borderId="5" xfId="38" applyFont="1" applyBorder="1" applyAlignment="1" applyProtection="1">
      <alignment horizontal="center"/>
      <protection hidden="1"/>
    </xf>
    <xf numFmtId="1" fontId="33" fillId="0" borderId="5" xfId="38" applyNumberFormat="1" applyFont="1" applyBorder="1" applyAlignment="1" applyProtection="1">
      <alignment horizontal="center"/>
      <protection hidden="1"/>
    </xf>
    <xf numFmtId="44" fontId="31" fillId="0" borderId="5" xfId="29" applyFont="1" applyBorder="1" applyProtection="1">
      <protection hidden="1"/>
    </xf>
    <xf numFmtId="0" fontId="34" fillId="24" borderId="7" xfId="38" applyFont="1" applyFill="1" applyBorder="1" applyAlignment="1" applyProtection="1">
      <alignment horizontal="center"/>
      <protection locked="0"/>
    </xf>
    <xf numFmtId="0" fontId="22" fillId="0" borderId="0" xfId="38" applyFont="1" applyFill="1" applyBorder="1" applyAlignment="1" applyProtection="1">
      <protection locked="0"/>
    </xf>
    <xf numFmtId="1" fontId="33" fillId="0" borderId="5" xfId="38" applyNumberFormat="1" applyFont="1" applyBorder="1" applyAlignment="1" applyProtection="1">
      <alignment horizontal="center" vertical="center"/>
      <protection hidden="1"/>
    </xf>
    <xf numFmtId="1" fontId="23" fillId="0" borderId="0" xfId="38" applyNumberFormat="1" applyFont="1" applyProtection="1">
      <protection hidden="1"/>
    </xf>
    <xf numFmtId="1" fontId="35" fillId="0" borderId="5" xfId="38" applyNumberFormat="1" applyFont="1" applyBorder="1" applyAlignment="1" applyProtection="1">
      <alignment horizontal="center"/>
      <protection hidden="1"/>
    </xf>
    <xf numFmtId="0" fontId="15" fillId="0" borderId="0" xfId="38" applyFill="1" applyAlignment="1" applyProtection="1">
      <alignment horizontal="center" vertical="center"/>
      <protection hidden="1"/>
    </xf>
    <xf numFmtId="165" fontId="25" fillId="24" borderId="5" xfId="38" applyNumberFormat="1" applyFont="1" applyFill="1" applyBorder="1" applyAlignment="1" applyProtection="1">
      <alignment horizontal="center"/>
      <protection locked="0"/>
    </xf>
    <xf numFmtId="1" fontId="36" fillId="0" borderId="0" xfId="38" applyNumberFormat="1" applyFont="1" applyFill="1" applyProtection="1">
      <protection hidden="1"/>
    </xf>
    <xf numFmtId="1" fontId="30" fillId="0" borderId="0" xfId="38" applyNumberFormat="1" applyFont="1" applyAlignment="1" applyProtection="1">
      <alignment horizontal="fill"/>
      <protection hidden="1"/>
    </xf>
    <xf numFmtId="0" fontId="30" fillId="25" borderId="0" xfId="38" applyFont="1" applyFill="1" applyAlignment="1" applyProtection="1">
      <alignment horizontal="left"/>
      <protection hidden="1"/>
    </xf>
    <xf numFmtId="0" fontId="30" fillId="25" borderId="0" xfId="38" applyFont="1" applyFill="1" applyProtection="1">
      <protection hidden="1"/>
    </xf>
    <xf numFmtId="164" fontId="37" fillId="0" borderId="5" xfId="27" applyFont="1" applyBorder="1" applyProtection="1">
      <protection hidden="1"/>
    </xf>
    <xf numFmtId="0" fontId="15" fillId="0" borderId="0" xfId="38" applyBorder="1" applyProtection="1">
      <protection hidden="1"/>
    </xf>
    <xf numFmtId="0" fontId="30" fillId="0" borderId="0" xfId="38" applyFont="1" applyBorder="1" applyAlignment="1" applyProtection="1">
      <alignment horizontal="left"/>
      <protection hidden="1"/>
    </xf>
    <xf numFmtId="166" fontId="30" fillId="0" borderId="0" xfId="38" applyNumberFormat="1" applyFont="1" applyBorder="1" applyAlignment="1" applyProtection="1">
      <alignment horizontal="left"/>
      <protection hidden="1"/>
    </xf>
    <xf numFmtId="0" fontId="30" fillId="25" borderId="0" xfId="38" applyFont="1" applyFill="1" applyBorder="1" applyAlignment="1" applyProtection="1">
      <alignment horizontal="left"/>
      <protection hidden="1"/>
    </xf>
    <xf numFmtId="0" fontId="23" fillId="25" borderId="0" xfId="38" applyFont="1" applyFill="1" applyBorder="1" applyProtection="1">
      <protection hidden="1"/>
    </xf>
    <xf numFmtId="1" fontId="37" fillId="0" borderId="0" xfId="38" applyNumberFormat="1" applyFont="1" applyBorder="1" applyAlignment="1" applyProtection="1">
      <alignment horizontal="center"/>
      <protection hidden="1"/>
    </xf>
    <xf numFmtId="0" fontId="37" fillId="0" borderId="0" xfId="38" applyFont="1" applyAlignment="1" applyProtection="1">
      <alignment horizontal="center"/>
      <protection hidden="1"/>
    </xf>
    <xf numFmtId="1" fontId="37" fillId="0" borderId="0" xfId="38" applyNumberFormat="1" applyFont="1" applyAlignment="1" applyProtection="1">
      <alignment horizontal="center"/>
      <protection hidden="1"/>
    </xf>
    <xf numFmtId="1" fontId="15" fillId="24" borderId="0" xfId="38" applyNumberFormat="1" applyFill="1" applyProtection="1">
      <protection hidden="1"/>
    </xf>
    <xf numFmtId="0" fontId="37" fillId="0" borderId="0" xfId="38" applyFont="1" applyBorder="1" applyAlignment="1" applyProtection="1">
      <alignment horizontal="center"/>
      <protection hidden="1"/>
    </xf>
    <xf numFmtId="164" fontId="37" fillId="25" borderId="5" xfId="27" applyFont="1" applyFill="1" applyBorder="1" applyProtection="1">
      <protection hidden="1"/>
    </xf>
    <xf numFmtId="168" fontId="15" fillId="0" borderId="0" xfId="38" applyNumberFormat="1" applyFill="1" applyProtection="1">
      <protection hidden="1"/>
    </xf>
    <xf numFmtId="169" fontId="15" fillId="0" borderId="0" xfId="38" applyNumberFormat="1" applyFont="1" applyFill="1" applyProtection="1">
      <protection hidden="1"/>
    </xf>
    <xf numFmtId="164" fontId="36" fillId="0" borderId="0" xfId="27" applyFont="1" applyFill="1" applyProtection="1">
      <protection hidden="1"/>
    </xf>
    <xf numFmtId="12" fontId="15" fillId="0" borderId="0" xfId="38" applyNumberFormat="1" applyProtection="1">
      <protection hidden="1"/>
    </xf>
    <xf numFmtId="1" fontId="33" fillId="0" borderId="0" xfId="38" applyNumberFormat="1" applyFont="1" applyBorder="1" applyAlignment="1" applyProtection="1">
      <alignment horizontal="center" vertical="center"/>
      <protection hidden="1"/>
    </xf>
    <xf numFmtId="167" fontId="15" fillId="0" borderId="0" xfId="38" applyNumberFormat="1" applyProtection="1">
      <protection hidden="1"/>
    </xf>
    <xf numFmtId="1" fontId="33" fillId="24" borderId="5" xfId="38" applyNumberFormat="1" applyFont="1" applyFill="1" applyBorder="1" applyAlignment="1" applyProtection="1">
      <alignment horizontal="center" vertical="center"/>
      <protection locked="0"/>
    </xf>
    <xf numFmtId="0" fontId="29" fillId="0" borderId="0" xfId="38" applyFont="1" applyFill="1" applyBorder="1" applyProtection="1">
      <protection hidden="1"/>
    </xf>
    <xf numFmtId="0" fontId="31" fillId="0" borderId="0" xfId="38" applyFont="1" applyAlignment="1" applyProtection="1">
      <alignment horizontal="right"/>
      <protection hidden="1"/>
    </xf>
    <xf numFmtId="164" fontId="38" fillId="0" borderId="0" xfId="27" applyFont="1" applyAlignment="1" applyProtection="1">
      <alignment horizontal="center"/>
      <protection hidden="1"/>
    </xf>
    <xf numFmtId="164" fontId="30" fillId="0" borderId="0" xfId="27" applyFont="1" applyAlignment="1" applyProtection="1">
      <alignment horizontal="center"/>
      <protection hidden="1"/>
    </xf>
    <xf numFmtId="0" fontId="31" fillId="0" borderId="0" xfId="38" applyFont="1" applyAlignment="1" applyProtection="1">
      <alignment horizontal="center"/>
      <protection hidden="1"/>
    </xf>
    <xf numFmtId="0" fontId="39" fillId="0" borderId="0" xfId="38" applyFont="1" applyProtection="1">
      <protection hidden="1"/>
    </xf>
    <xf numFmtId="44" fontId="33" fillId="0" borderId="0" xfId="29" applyFont="1" applyFill="1" applyAlignment="1" applyProtection="1">
      <alignment horizontal="center"/>
      <protection hidden="1"/>
    </xf>
    <xf numFmtId="0" fontId="15" fillId="0" borderId="0" xfId="38" applyNumberFormat="1" applyProtection="1">
      <protection hidden="1"/>
    </xf>
    <xf numFmtId="0" fontId="30" fillId="0" borderId="0" xfId="38" applyFont="1" applyProtection="1">
      <protection locked="0" hidden="1"/>
    </xf>
    <xf numFmtId="0" fontId="38" fillId="0" borderId="5" xfId="38" applyFont="1" applyBorder="1" applyProtection="1">
      <protection locked="0"/>
    </xf>
    <xf numFmtId="44" fontId="40" fillId="0" borderId="0" xfId="38" applyNumberFormat="1" applyFont="1" applyProtection="1">
      <protection hidden="1"/>
    </xf>
    <xf numFmtId="0" fontId="33" fillId="0" borderId="5" xfId="38" applyFont="1" applyBorder="1" applyAlignment="1" applyProtection="1">
      <alignment horizontal="center"/>
      <protection hidden="1"/>
    </xf>
    <xf numFmtId="0" fontId="30" fillId="0" borderId="8" xfId="38" applyFont="1" applyBorder="1" applyAlignment="1" applyProtection="1">
      <alignment horizontal="left"/>
      <protection hidden="1"/>
    </xf>
    <xf numFmtId="0" fontId="30" fillId="0" borderId="5" xfId="38" applyFont="1" applyBorder="1" applyProtection="1">
      <protection hidden="1"/>
    </xf>
    <xf numFmtId="0" fontId="41" fillId="0" borderId="0" xfId="38" applyFont="1" applyFill="1" applyAlignment="1" applyProtection="1">
      <alignment horizontal="center"/>
      <protection hidden="1"/>
    </xf>
    <xf numFmtId="0" fontId="30" fillId="0" borderId="5" xfId="38" applyFont="1" applyBorder="1" applyAlignment="1" applyProtection="1">
      <alignment horizontal="left" shrinkToFit="1"/>
      <protection hidden="1"/>
    </xf>
    <xf numFmtId="164" fontId="32" fillId="0" borderId="0" xfId="27" applyFont="1" applyProtection="1">
      <protection hidden="1"/>
    </xf>
    <xf numFmtId="164" fontId="42" fillId="25" borderId="5" xfId="27" applyFont="1" applyFill="1" applyBorder="1" applyProtection="1">
      <protection hidden="1"/>
    </xf>
    <xf numFmtId="164" fontId="42" fillId="0" borderId="5" xfId="27" applyFont="1" applyBorder="1" applyProtection="1">
      <protection hidden="1"/>
    </xf>
    <xf numFmtId="164" fontId="42" fillId="0" borderId="0" xfId="27" applyFont="1" applyProtection="1">
      <protection hidden="1"/>
    </xf>
    <xf numFmtId="164" fontId="33" fillId="24" borderId="5" xfId="27" applyFont="1" applyFill="1" applyBorder="1" applyAlignment="1" applyProtection="1">
      <alignment horizontal="center"/>
      <protection locked="0"/>
    </xf>
    <xf numFmtId="0" fontId="43" fillId="0" borderId="0" xfId="38" applyFont="1" applyProtection="1">
      <protection hidden="1"/>
    </xf>
    <xf numFmtId="0" fontId="30" fillId="0" borderId="7" xfId="38" applyFont="1" applyBorder="1" applyProtection="1">
      <protection hidden="1"/>
    </xf>
    <xf numFmtId="44" fontId="33" fillId="0" borderId="9" xfId="29" applyFont="1" applyFill="1" applyBorder="1" applyProtection="1">
      <protection hidden="1"/>
    </xf>
    <xf numFmtId="0" fontId="27" fillId="24" borderId="0" xfId="38" applyFont="1" applyFill="1" applyAlignment="1" applyProtection="1">
      <alignment horizontal="center"/>
      <protection hidden="1"/>
    </xf>
    <xf numFmtId="0" fontId="27" fillId="26" borderId="0" xfId="38" applyFont="1" applyFill="1" applyAlignment="1" applyProtection="1">
      <alignment horizontal="center"/>
      <protection hidden="1"/>
    </xf>
    <xf numFmtId="0" fontId="26" fillId="25" borderId="0" xfId="38" applyFont="1" applyFill="1" applyProtection="1">
      <protection hidden="1"/>
    </xf>
    <xf numFmtId="7" fontId="26" fillId="26" borderId="0" xfId="27" applyNumberFormat="1" applyFont="1" applyFill="1" applyAlignment="1" applyProtection="1">
      <alignment horizontal="center"/>
      <protection hidden="1"/>
    </xf>
    <xf numFmtId="44" fontId="44" fillId="24" borderId="5" xfId="38" applyNumberFormat="1" applyFont="1" applyFill="1" applyBorder="1" applyProtection="1">
      <protection hidden="1"/>
    </xf>
    <xf numFmtId="0" fontId="26" fillId="24" borderId="5" xfId="38" applyFont="1" applyFill="1" applyBorder="1" applyAlignment="1" applyProtection="1">
      <alignment horizontal="center"/>
      <protection hidden="1"/>
    </xf>
    <xf numFmtId="15" fontId="44" fillId="24" borderId="5" xfId="38" applyNumberFormat="1" applyFont="1" applyFill="1" applyBorder="1" applyAlignment="1" applyProtection="1">
      <alignment horizontal="center"/>
      <protection hidden="1"/>
    </xf>
    <xf numFmtId="168" fontId="44" fillId="24" borderId="5" xfId="38" applyNumberFormat="1" applyFont="1" applyFill="1" applyBorder="1" applyAlignment="1" applyProtection="1">
      <alignment horizontal="center"/>
      <protection hidden="1"/>
    </xf>
    <xf numFmtId="1" fontId="44" fillId="24" borderId="5" xfId="38" applyNumberFormat="1" applyFont="1" applyFill="1" applyBorder="1" applyAlignment="1" applyProtection="1">
      <alignment horizontal="center"/>
      <protection hidden="1"/>
    </xf>
    <xf numFmtId="0" fontId="26" fillId="24" borderId="7" xfId="38" applyFont="1" applyFill="1" applyBorder="1" applyProtection="1">
      <protection hidden="1"/>
    </xf>
    <xf numFmtId="164" fontId="26" fillId="24" borderId="7" xfId="27" applyFont="1" applyFill="1" applyBorder="1" applyProtection="1">
      <protection hidden="1"/>
    </xf>
    <xf numFmtId="170" fontId="26" fillId="24" borderId="7" xfId="38" applyNumberFormat="1" applyFont="1" applyFill="1" applyBorder="1" applyProtection="1">
      <protection hidden="1"/>
    </xf>
    <xf numFmtId="170" fontId="26" fillId="24" borderId="7" xfId="27" applyNumberFormat="1" applyFont="1" applyFill="1" applyBorder="1" applyProtection="1">
      <protection hidden="1"/>
    </xf>
    <xf numFmtId="1" fontId="26" fillId="24" borderId="7" xfId="38" applyNumberFormat="1" applyFont="1" applyFill="1" applyBorder="1" applyProtection="1">
      <protection hidden="1"/>
    </xf>
    <xf numFmtId="7" fontId="26" fillId="24" borderId="7" xfId="27" applyNumberFormat="1" applyFont="1" applyFill="1" applyBorder="1" applyProtection="1">
      <protection hidden="1"/>
    </xf>
    <xf numFmtId="0" fontId="27" fillId="27" borderId="5" xfId="38" applyFont="1" applyFill="1" applyBorder="1" applyAlignment="1" applyProtection="1">
      <alignment horizontal="center"/>
      <protection hidden="1"/>
    </xf>
    <xf numFmtId="168" fontId="26" fillId="27" borderId="5" xfId="27" applyNumberFormat="1" applyFont="1" applyFill="1" applyBorder="1" applyAlignment="1" applyProtection="1">
      <alignment horizontal="center"/>
      <protection hidden="1"/>
    </xf>
    <xf numFmtId="168" fontId="26" fillId="27" borderId="5" xfId="38" applyNumberFormat="1" applyFont="1" applyFill="1" applyBorder="1" applyAlignment="1" applyProtection="1">
      <alignment horizontal="center"/>
      <protection hidden="1"/>
    </xf>
    <xf numFmtId="0" fontId="26" fillId="27" borderId="5" xfId="38" applyFont="1" applyFill="1" applyBorder="1" applyAlignment="1" applyProtection="1">
      <alignment horizontal="center"/>
      <protection hidden="1"/>
    </xf>
    <xf numFmtId="164" fontId="26" fillId="27" borderId="5" xfId="27" applyFont="1" applyFill="1" applyBorder="1" applyAlignment="1" applyProtection="1">
      <alignment horizontal="center"/>
      <protection hidden="1"/>
    </xf>
    <xf numFmtId="2" fontId="26" fillId="27" borderId="5" xfId="38" applyNumberFormat="1" applyFont="1" applyFill="1" applyBorder="1" applyAlignment="1" applyProtection="1">
      <alignment horizontal="center"/>
      <protection hidden="1"/>
    </xf>
    <xf numFmtId="1" fontId="26" fillId="27" borderId="5" xfId="38" applyNumberFormat="1" applyFont="1" applyFill="1" applyBorder="1" applyAlignment="1" applyProtection="1">
      <alignment horizontal="center"/>
      <protection hidden="1"/>
    </xf>
    <xf numFmtId="170" fontId="26" fillId="27" borderId="5" xfId="38" applyNumberFormat="1" applyFont="1" applyFill="1" applyBorder="1" applyAlignment="1" applyProtection="1">
      <alignment horizontal="center"/>
      <protection hidden="1"/>
    </xf>
    <xf numFmtId="0" fontId="26" fillId="27" borderId="5" xfId="38" applyFont="1" applyFill="1" applyBorder="1" applyProtection="1">
      <protection hidden="1"/>
    </xf>
    <xf numFmtId="0" fontId="27" fillId="27" borderId="9" xfId="38" applyFont="1" applyFill="1" applyBorder="1" applyAlignment="1" applyProtection="1">
      <alignment horizontal="center"/>
      <protection hidden="1"/>
    </xf>
    <xf numFmtId="164" fontId="33" fillId="24" borderId="5" xfId="27" applyFont="1" applyFill="1" applyBorder="1" applyProtection="1">
      <protection locked="0"/>
    </xf>
    <xf numFmtId="1" fontId="33" fillId="24" borderId="5" xfId="38" applyNumberFormat="1" applyFont="1" applyFill="1" applyBorder="1" applyAlignment="1" applyProtection="1">
      <alignment horizontal="right"/>
      <protection locked="0"/>
    </xf>
    <xf numFmtId="10" fontId="33" fillId="24" borderId="5" xfId="38" applyNumberFormat="1" applyFont="1" applyFill="1" applyBorder="1" applyAlignment="1" applyProtection="1">
      <alignment horizontal="right"/>
      <protection locked="0"/>
    </xf>
    <xf numFmtId="0" fontId="33" fillId="24" borderId="5" xfId="38" applyFont="1" applyFill="1" applyBorder="1" applyAlignment="1" applyProtection="1">
      <alignment horizontal="right"/>
      <protection locked="0"/>
    </xf>
    <xf numFmtId="1" fontId="33" fillId="24" borderId="5" xfId="29" applyNumberFormat="1" applyFont="1" applyFill="1" applyBorder="1" applyProtection="1">
      <protection locked="0"/>
    </xf>
    <xf numFmtId="168" fontId="33" fillId="24" borderId="5" xfId="38" applyNumberFormat="1" applyFont="1" applyFill="1" applyBorder="1" applyProtection="1">
      <protection locked="0"/>
    </xf>
    <xf numFmtId="164" fontId="33" fillId="24" borderId="5" xfId="27" applyFont="1" applyFill="1" applyBorder="1" applyProtection="1">
      <protection locked="0" hidden="1"/>
    </xf>
    <xf numFmtId="0" fontId="26" fillId="0" borderId="0" xfId="38" applyFont="1" applyProtection="1">
      <protection hidden="1"/>
    </xf>
    <xf numFmtId="0" fontId="37" fillId="24" borderId="0" xfId="38" applyFont="1" applyFill="1" applyProtection="1">
      <protection locked="0" hidden="1"/>
    </xf>
    <xf numFmtId="0" fontId="37" fillId="0" borderId="0" xfId="38" applyFont="1" applyFill="1" applyProtection="1">
      <protection hidden="1"/>
    </xf>
    <xf numFmtId="0" fontId="37" fillId="0" borderId="0" xfId="38" applyFont="1" applyProtection="1">
      <protection hidden="1"/>
    </xf>
    <xf numFmtId="0" fontId="37" fillId="24" borderId="0" xfId="38" applyFont="1" applyFill="1" applyAlignment="1" applyProtection="1">
      <alignment horizontal="right"/>
      <protection locked="0" hidden="1"/>
    </xf>
    <xf numFmtId="1" fontId="15" fillId="0" borderId="0" xfId="27" applyNumberFormat="1" applyFont="1" applyProtection="1">
      <protection hidden="1"/>
    </xf>
    <xf numFmtId="1" fontId="30" fillId="0" borderId="0" xfId="27" applyNumberFormat="1" applyFont="1" applyAlignment="1" applyProtection="1">
      <alignment horizontal="right"/>
      <protection hidden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28" borderId="0" xfId="0" applyFont="1" applyFill="1" applyAlignment="1">
      <alignment horizontal="center"/>
    </xf>
    <xf numFmtId="0" fontId="47" fillId="29" borderId="0" xfId="0" applyFont="1" applyFill="1" applyAlignment="1">
      <alignment horizontal="center"/>
    </xf>
    <xf numFmtId="164" fontId="28" fillId="0" borderId="0" xfId="27" applyFont="1"/>
    <xf numFmtId="171" fontId="28" fillId="0" borderId="0" xfId="27" applyNumberFormat="1" applyFont="1"/>
    <xf numFmtId="171" fontId="46" fillId="0" borderId="0" xfId="27" applyNumberFormat="1" applyFont="1" applyAlignment="1">
      <alignment horizontal="center"/>
    </xf>
    <xf numFmtId="164" fontId="45" fillId="0" borderId="0" xfId="27" applyFont="1" applyAlignment="1">
      <alignment horizontal="center"/>
    </xf>
    <xf numFmtId="164" fontId="48" fillId="0" borderId="0" xfId="27" applyFont="1"/>
    <xf numFmtId="164" fontId="49" fillId="0" borderId="0" xfId="27" applyFont="1"/>
    <xf numFmtId="0" fontId="50" fillId="28" borderId="0" xfId="0" applyFont="1" applyFill="1" applyAlignment="1">
      <alignment horizontal="center"/>
    </xf>
    <xf numFmtId="0" fontId="50" fillId="28" borderId="5" xfId="0" applyFont="1" applyFill="1" applyBorder="1" applyAlignment="1">
      <alignment horizontal="center"/>
    </xf>
    <xf numFmtId="0" fontId="51" fillId="0" borderId="0" xfId="0" applyFont="1"/>
    <xf numFmtId="164" fontId="50" fillId="28" borderId="0" xfId="27" applyFont="1" applyFill="1"/>
    <xf numFmtId="164" fontId="33" fillId="0" borderId="0" xfId="27" applyFont="1" applyFill="1" applyAlignment="1" applyProtection="1">
      <alignment horizontal="right"/>
      <protection hidden="1"/>
    </xf>
    <xf numFmtId="164" fontId="54" fillId="0" borderId="0" xfId="27" applyFont="1" applyAlignment="1" applyProtection="1">
      <alignment horizontal="right"/>
      <protection hidden="1"/>
    </xf>
    <xf numFmtId="164" fontId="54" fillId="0" borderId="0" xfId="27" applyFont="1" applyFill="1" applyAlignment="1" applyProtection="1">
      <alignment horizontal="right"/>
      <protection hidden="1"/>
    </xf>
    <xf numFmtId="164" fontId="33" fillId="0" borderId="0" xfId="27" applyFont="1" applyAlignment="1" applyProtection="1">
      <alignment horizontal="right"/>
      <protection hidden="1"/>
    </xf>
    <xf numFmtId="164" fontId="33" fillId="25" borderId="0" xfId="27" applyFont="1" applyFill="1" applyAlignment="1" applyProtection="1">
      <alignment horizontal="right"/>
      <protection hidden="1"/>
    </xf>
    <xf numFmtId="0" fontId="15" fillId="24" borderId="5" xfId="38" applyFill="1" applyBorder="1" applyProtection="1">
      <protection hidden="1"/>
    </xf>
    <xf numFmtId="164" fontId="54" fillId="25" borderId="5" xfId="27" applyFont="1" applyFill="1" applyBorder="1" applyAlignment="1" applyProtection="1">
      <alignment horizontal="center"/>
      <protection hidden="1"/>
    </xf>
    <xf numFmtId="168" fontId="33" fillId="24" borderId="5" xfId="38" applyNumberFormat="1" applyFont="1" applyFill="1" applyBorder="1" applyAlignment="1" applyProtection="1">
      <alignment horizontal="center"/>
      <protection locked="0"/>
    </xf>
    <xf numFmtId="2" fontId="23" fillId="25" borderId="0" xfId="38" applyNumberFormat="1" applyFont="1" applyFill="1" applyAlignment="1" applyProtection="1">
      <alignment horizontal="center"/>
      <protection hidden="1"/>
    </xf>
    <xf numFmtId="2" fontId="26" fillId="27" borderId="0" xfId="38" applyNumberFormat="1" applyFont="1" applyFill="1" applyAlignment="1" applyProtection="1">
      <alignment horizontal="center"/>
      <protection hidden="1"/>
    </xf>
    <xf numFmtId="168" fontId="15" fillId="0" borderId="0" xfId="38" applyNumberFormat="1" applyProtection="1">
      <protection hidden="1"/>
    </xf>
    <xf numFmtId="0" fontId="55" fillId="0" borderId="0" xfId="38" applyFont="1" applyProtection="1">
      <protection hidden="1"/>
    </xf>
    <xf numFmtId="168" fontId="55" fillId="0" borderId="0" xfId="38" applyNumberFormat="1" applyFont="1" applyAlignment="1" applyProtection="1">
      <alignment horizontal="center"/>
      <protection hidden="1"/>
    </xf>
    <xf numFmtId="1" fontId="55" fillId="0" borderId="0" xfId="38" applyNumberFormat="1" applyFont="1" applyAlignment="1" applyProtection="1">
      <alignment horizontal="center"/>
      <protection hidden="1"/>
    </xf>
    <xf numFmtId="0" fontId="33" fillId="0" borderId="0" xfId="38" applyFont="1" applyProtection="1">
      <protection hidden="1"/>
    </xf>
    <xf numFmtId="2" fontId="37" fillId="0" borderId="0" xfId="38" applyNumberFormat="1" applyFont="1" applyAlignment="1" applyProtection="1">
      <alignment horizontal="center"/>
      <protection hidden="1"/>
    </xf>
    <xf numFmtId="0" fontId="56" fillId="0" borderId="0" xfId="38" applyFont="1" applyProtection="1">
      <protection hidden="1"/>
    </xf>
    <xf numFmtId="7" fontId="37" fillId="0" borderId="0" xfId="27" applyNumberFormat="1" applyFont="1" applyAlignment="1" applyProtection="1">
      <alignment horizontal="center"/>
      <protection hidden="1"/>
    </xf>
    <xf numFmtId="170" fontId="37" fillId="0" borderId="0" xfId="38" applyNumberFormat="1" applyFont="1" applyAlignment="1" applyProtection="1">
      <alignment horizontal="center"/>
      <protection hidden="1"/>
    </xf>
    <xf numFmtId="165" fontId="55" fillId="0" borderId="0" xfId="38" applyNumberFormat="1" applyFont="1" applyAlignment="1" applyProtection="1">
      <alignment horizontal="center"/>
      <protection hidden="1"/>
    </xf>
    <xf numFmtId="44" fontId="37" fillId="0" borderId="0" xfId="38" applyNumberFormat="1" applyFont="1" applyProtection="1">
      <protection hidden="1"/>
    </xf>
    <xf numFmtId="164" fontId="33" fillId="0" borderId="0" xfId="27" applyFont="1" applyProtection="1">
      <protection hidden="1"/>
    </xf>
    <xf numFmtId="1" fontId="37" fillId="24" borderId="0" xfId="38" applyNumberFormat="1" applyFont="1" applyFill="1" applyProtection="1">
      <protection locked="0" hidden="1"/>
    </xf>
    <xf numFmtId="0" fontId="33" fillId="0" borderId="5" xfId="38" applyFont="1" applyBorder="1" applyAlignment="1" applyProtection="1">
      <alignment horizontal="center"/>
    </xf>
    <xf numFmtId="0" fontId="15" fillId="24" borderId="5" xfId="38" applyFill="1" applyBorder="1" applyProtection="1">
      <protection locked="0" hidden="1"/>
    </xf>
    <xf numFmtId="0" fontId="57" fillId="0" borderId="0" xfId="38" applyFont="1" applyProtection="1">
      <protection locked="0"/>
    </xf>
    <xf numFmtId="7" fontId="57" fillId="0" borderId="0" xfId="38" applyNumberFormat="1" applyFont="1" applyProtection="1">
      <protection locked="0"/>
    </xf>
    <xf numFmtId="0" fontId="33" fillId="23" borderId="0" xfId="38" applyFont="1" applyFill="1" applyAlignment="1" applyProtection="1">
      <alignment horizontal="center"/>
      <protection locked="0"/>
    </xf>
    <xf numFmtId="9" fontId="33" fillId="23" borderId="0" xfId="38" applyNumberFormat="1" applyFont="1" applyFill="1" applyAlignment="1" applyProtection="1">
      <alignment horizontal="center"/>
      <protection locked="0"/>
    </xf>
    <xf numFmtId="0" fontId="33" fillId="24" borderId="5" xfId="38" applyFont="1" applyFill="1" applyBorder="1" applyProtection="1">
      <protection locked="0" hidden="1"/>
    </xf>
    <xf numFmtId="0" fontId="15" fillId="24" borderId="0" xfId="38" applyFill="1" applyProtection="1">
      <protection hidden="1"/>
    </xf>
    <xf numFmtId="0" fontId="71" fillId="0" borderId="0" xfId="38" applyFont="1" applyProtection="1">
      <protection hidden="1"/>
    </xf>
    <xf numFmtId="164" fontId="37" fillId="24" borderId="0" xfId="27" applyFont="1" applyFill="1" applyProtection="1">
      <protection hidden="1"/>
    </xf>
    <xf numFmtId="0" fontId="71" fillId="24" borderId="0" xfId="38" applyFont="1" applyFill="1" applyProtection="1">
      <protection locked="0" hidden="1"/>
    </xf>
    <xf numFmtId="13" fontId="33" fillId="24" borderId="5" xfId="29" applyNumberFormat="1" applyFont="1" applyFill="1" applyBorder="1" applyAlignment="1" applyProtection="1">
      <alignment horizontal="left"/>
      <protection locked="0" hidden="1"/>
    </xf>
    <xf numFmtId="164" fontId="0" fillId="0" borderId="0" xfId="27" applyNumberFormat="1" applyFont="1"/>
    <xf numFmtId="164" fontId="0" fillId="0" borderId="0" xfId="0" applyNumberFormat="1"/>
    <xf numFmtId="164" fontId="33" fillId="24" borderId="5" xfId="27" applyFont="1" applyFill="1" applyBorder="1" applyProtection="1">
      <protection hidden="1"/>
    </xf>
    <xf numFmtId="0" fontId="0" fillId="24" borderId="0" xfId="0" applyFill="1" applyAlignment="1" applyProtection="1">
      <alignment horizontal="center" wrapText="1"/>
      <protection hidden="1"/>
    </xf>
    <xf numFmtId="164" fontId="0" fillId="24" borderId="0" xfId="0" applyNumberFormat="1" applyFill="1" applyProtection="1">
      <protection hidden="1"/>
    </xf>
    <xf numFmtId="0" fontId="0" fillId="0" borderId="0" xfId="0" applyProtection="1">
      <protection locked="0"/>
    </xf>
    <xf numFmtId="164" fontId="0" fillId="0" borderId="0" xfId="27" applyFont="1" applyProtection="1">
      <protection locked="0"/>
    </xf>
    <xf numFmtId="0" fontId="0" fillId="0" borderId="0" xfId="0" applyProtection="1">
      <protection hidden="1"/>
    </xf>
    <xf numFmtId="0" fontId="53" fillId="28" borderId="0" xfId="0" applyFont="1" applyFill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70" fontId="52" fillId="25" borderId="5" xfId="0" applyNumberFormat="1" applyFont="1" applyFill="1" applyBorder="1" applyAlignment="1" applyProtection="1">
      <alignment horizontal="center"/>
      <protection hidden="1"/>
    </xf>
    <xf numFmtId="0" fontId="47" fillId="28" borderId="0" xfId="0" applyFont="1" applyFill="1" applyAlignment="1" applyProtection="1">
      <alignment horizontal="center"/>
      <protection hidden="1"/>
    </xf>
    <xf numFmtId="170" fontId="52" fillId="25" borderId="5" xfId="27" applyNumberFormat="1" applyFont="1" applyFill="1" applyBorder="1" applyAlignment="1" applyProtection="1">
      <alignment horizontal="center"/>
      <protection hidden="1"/>
    </xf>
    <xf numFmtId="8" fontId="52" fillId="25" borderId="5" xfId="0" applyNumberFormat="1" applyFont="1" applyFill="1" applyBorder="1" applyAlignment="1" applyProtection="1">
      <alignment horizontal="center"/>
      <protection hidden="1"/>
    </xf>
    <xf numFmtId="0" fontId="47" fillId="29" borderId="0" xfId="0" applyFont="1" applyFill="1" applyAlignment="1" applyProtection="1">
      <alignment horizontal="center"/>
      <protection hidden="1"/>
    </xf>
    <xf numFmtId="8" fontId="52" fillId="25" borderId="5" xfId="0" applyNumberFormat="1" applyFont="1" applyFill="1" applyBorder="1" applyAlignment="1" applyProtection="1">
      <alignment horizontal="center" vertical="top" wrapText="1" readingOrder="1"/>
      <protection hidden="1"/>
    </xf>
    <xf numFmtId="170" fontId="47" fillId="29" borderId="0" xfId="0" applyNumberFormat="1" applyFont="1" applyFill="1" applyAlignment="1" applyProtection="1">
      <alignment horizontal="center"/>
      <protection hidden="1"/>
    </xf>
    <xf numFmtId="0" fontId="46" fillId="24" borderId="0" xfId="0" applyFont="1" applyFill="1" applyAlignment="1" applyProtection="1">
      <alignment horizontal="center"/>
      <protection hidden="1"/>
    </xf>
    <xf numFmtId="170" fontId="28" fillId="25" borderId="5" xfId="27" applyNumberFormat="1" applyFont="1" applyFill="1" applyBorder="1" applyAlignment="1" applyProtection="1">
      <alignment horizontal="center"/>
      <protection hidden="1"/>
    </xf>
    <xf numFmtId="170" fontId="28" fillId="0" borderId="5" xfId="27" applyNumberFormat="1" applyFont="1" applyBorder="1" applyAlignment="1" applyProtection="1">
      <alignment horizontal="center"/>
      <protection hidden="1"/>
    </xf>
    <xf numFmtId="0" fontId="27" fillId="27" borderId="0" xfId="38" applyFont="1" applyFill="1" applyAlignment="1" applyProtection="1">
      <alignment horizontal="center"/>
      <protection hidden="1"/>
    </xf>
    <xf numFmtId="0" fontId="58" fillId="27" borderId="0" xfId="0" applyFont="1" applyFill="1" applyAlignment="1"/>
    <xf numFmtId="0" fontId="27" fillId="24" borderId="7" xfId="38" applyFont="1" applyFill="1" applyBorder="1" applyAlignment="1" applyProtection="1">
      <alignment horizontal="center"/>
      <protection hidden="1"/>
    </xf>
    <xf numFmtId="0" fontId="59" fillId="0" borderId="9" xfId="0" applyFont="1" applyBorder="1" applyAlignment="1"/>
    <xf numFmtId="7" fontId="60" fillId="0" borderId="0" xfId="27" applyNumberFormat="1" applyFont="1" applyAlignment="1" applyProtection="1">
      <alignment horizontal="center"/>
      <protection hidden="1"/>
    </xf>
    <xf numFmtId="7" fontId="61" fillId="0" borderId="0" xfId="27" applyNumberFormat="1" applyFont="1" applyAlignment="1">
      <alignment horizontal="center"/>
    </xf>
    <xf numFmtId="170" fontId="60" fillId="0" borderId="0" xfId="27" applyNumberFormat="1" applyFont="1" applyAlignment="1" applyProtection="1">
      <alignment horizontal="center"/>
      <protection hidden="1"/>
    </xf>
    <xf numFmtId="170" fontId="0" fillId="0" borderId="0" xfId="0" applyNumberFormat="1" applyAlignment="1"/>
    <xf numFmtId="0" fontId="26" fillId="24" borderId="7" xfId="38" applyFont="1" applyFill="1" applyBorder="1" applyAlignment="1" applyProtection="1">
      <alignment horizontal="center"/>
      <protection hidden="1"/>
    </xf>
    <xf numFmtId="0" fontId="0" fillId="0" borderId="9" xfId="0" applyBorder="1" applyAlignment="1">
      <alignment horizontal="center"/>
    </xf>
    <xf numFmtId="0" fontId="27" fillId="24" borderId="0" xfId="38" applyFont="1" applyFill="1" applyAlignment="1" applyProtection="1">
      <alignment horizontal="center"/>
      <protection hidden="1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62" fillId="0" borderId="0" xfId="38" applyFont="1" applyAlignment="1" applyProtection="1">
      <alignment shrinkToFit="1"/>
      <protection hidden="1"/>
    </xf>
    <xf numFmtId="0" fontId="62" fillId="24" borderId="0" xfId="38" applyFont="1" applyFill="1" applyAlignment="1" applyProtection="1">
      <alignment horizontal="center"/>
      <protection hidden="1"/>
    </xf>
    <xf numFmtId="0" fontId="63" fillId="24" borderId="0" xfId="0" applyFont="1" applyFill="1" applyAlignment="1">
      <alignment horizontal="center"/>
    </xf>
    <xf numFmtId="0" fontId="33" fillId="23" borderId="8" xfId="38" applyFont="1" applyFill="1" applyBorder="1" applyAlignment="1" applyProtection="1">
      <protection locked="0"/>
    </xf>
    <xf numFmtId="0" fontId="64" fillId="0" borderId="10" xfId="0" applyFont="1" applyBorder="1" applyAlignment="1" applyProtection="1">
      <protection locked="0"/>
    </xf>
    <xf numFmtId="0" fontId="65" fillId="28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/>
    <xf numFmtId="0" fontId="67" fillId="28" borderId="0" xfId="0" applyFont="1" applyFill="1" applyAlignment="1">
      <alignment horizontal="center"/>
    </xf>
    <xf numFmtId="0" fontId="68" fillId="28" borderId="0" xfId="0" applyFont="1" applyFill="1" applyAlignment="1" applyProtection="1">
      <alignment horizontal="center"/>
      <protection hidden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urrency" xfId="27" builtinId="4"/>
    <cellStyle name="Currency 2" xfId="28" xr:uid="{00000000-0005-0000-0000-00001B000000}"/>
    <cellStyle name="Currency_Liquida 2010" xfId="29" xr:uid="{00000000-0005-0000-0000-00001C000000}"/>
    <cellStyle name="Explanatory Text" xfId="30" xr:uid="{00000000-0005-0000-0000-00001D000000}"/>
    <cellStyle name="Grey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Input [yellow]" xfId="35" xr:uid="{00000000-0005-0000-0000-000022000000}"/>
    <cellStyle name="no dec" xfId="36" xr:uid="{00000000-0005-0000-0000-000023000000}"/>
    <cellStyle name="Normal" xfId="0" builtinId="0"/>
    <cellStyle name="Normal - Style1" xfId="37" xr:uid="{00000000-0005-0000-0000-000025000000}"/>
    <cellStyle name="Normal_Liquida 2010" xfId="38" xr:uid="{00000000-0005-0000-0000-000026000000}"/>
    <cellStyle name="Output" xfId="39" xr:uid="{00000000-0005-0000-0000-000027000000}"/>
    <cellStyle name="Percent [2]" xfId="40" xr:uid="{00000000-0005-0000-0000-000028000000}"/>
    <cellStyle name="Title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fmlaLink="AA4" noThreeD="1"/>
</file>

<file path=xl/ctrlProps/ctrlProp2.xml><?xml version="1.0" encoding="utf-8"?>
<formControlPr xmlns="http://schemas.microsoft.com/office/spreadsheetml/2009/9/main" objectType="CheckBox" fmlaLink="AA7" lockText="1" noThreeD="1"/>
</file>

<file path=xl/ctrlProps/ctrlProp3.xml><?xml version="1.0" encoding="utf-8"?>
<formControlPr xmlns="http://schemas.microsoft.com/office/spreadsheetml/2009/9/main" objectType="Drop" dropLines="2" dropStyle="combo" dx="22" fmlaLink="C15" fmlaRange="AE1:AE2" noThreeD="1" sel="1" val="0"/>
</file>

<file path=xl/ctrlProps/ctrlProp4.xml><?xml version="1.0" encoding="utf-8"?>
<formControlPr xmlns="http://schemas.microsoft.com/office/spreadsheetml/2009/9/main" objectType="CheckBox" fmlaLink="$AA$8" lockText="1" noThreeD="1"/>
</file>

<file path=xl/ctrlProps/ctrlProp5.xml><?xml version="1.0" encoding="utf-8"?>
<formControlPr xmlns="http://schemas.microsoft.com/office/spreadsheetml/2009/9/main" objectType="CheckBox" checked="Checked" fmlaLink="$AA$9" lockText="1" noThreeD="1"/>
</file>

<file path=xl/ctrlProps/ctrlProp6.xml><?xml version="1.0" encoding="utf-8"?>
<formControlPr xmlns="http://schemas.microsoft.com/office/spreadsheetml/2009/9/main" objectType="CheckBox" fmlaLink="AA11" lockText="1" noThreeD="1"/>
</file>

<file path=xl/ctrlProps/ctrlProp7.xml><?xml version="1.0" encoding="utf-8"?>
<formControlPr xmlns="http://schemas.microsoft.com/office/spreadsheetml/2009/9/main" objectType="CheckBox" fmlaLink="$AA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234043</xdr:colOff>
      <xdr:row>15</xdr:row>
      <xdr:rowOff>115661</xdr:rowOff>
    </xdr:from>
    <xdr:to>
      <xdr:col>5</xdr:col>
      <xdr:colOff>72111</xdr:colOff>
      <xdr:row>24</xdr:row>
      <xdr:rowOff>27214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4043" y="2925536"/>
          <a:ext cx="5206086" cy="142194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228600</xdr:rowOff>
        </xdr:from>
        <xdr:to>
          <xdr:col>4</xdr:col>
          <xdr:colOff>1247775</xdr:colOff>
          <xdr:row>13</xdr:row>
          <xdr:rowOff>200025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223155</xdr:colOff>
      <xdr:row>27</xdr:row>
      <xdr:rowOff>136071</xdr:rowOff>
    </xdr:from>
    <xdr:to>
      <xdr:col>5</xdr:col>
      <xdr:colOff>58491</xdr:colOff>
      <xdr:row>31</xdr:row>
      <xdr:rowOff>54426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3155" y="4939392"/>
          <a:ext cx="5203354" cy="61912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234043</xdr:colOff>
      <xdr:row>11</xdr:row>
      <xdr:rowOff>88448</xdr:rowOff>
    </xdr:from>
    <xdr:to>
      <xdr:col>5</xdr:col>
      <xdr:colOff>65320</xdr:colOff>
      <xdr:row>15</xdr:row>
      <xdr:rowOff>47625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2143" y="1605644"/>
          <a:ext cx="5823855" cy="74839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223146</xdr:colOff>
      <xdr:row>31</xdr:row>
      <xdr:rowOff>136069</xdr:rowOff>
    </xdr:from>
    <xdr:to>
      <xdr:col>5</xdr:col>
      <xdr:colOff>51696</xdr:colOff>
      <xdr:row>48</xdr:row>
      <xdr:rowOff>20410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3146" y="5640158"/>
          <a:ext cx="5196568" cy="280307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`</a:t>
          </a:r>
        </a:p>
      </xdr:txBody>
    </xdr:sp>
    <xdr:clientData/>
  </xdr:twoCellAnchor>
  <xdr:twoCellAnchor>
    <xdr:from>
      <xdr:col>0</xdr:col>
      <xdr:colOff>210913</xdr:colOff>
      <xdr:row>48</xdr:row>
      <xdr:rowOff>95245</xdr:rowOff>
    </xdr:from>
    <xdr:to>
      <xdr:col>5</xdr:col>
      <xdr:colOff>44902</xdr:colOff>
      <xdr:row>50</xdr:row>
      <xdr:rowOff>81644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10913" y="8518066"/>
          <a:ext cx="5202007" cy="34698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1247775</xdr:colOff>
          <xdr:row>12</xdr:row>
          <xdr:rowOff>228600</xdr:rowOff>
        </xdr:to>
        <xdr:sp macro="" textlink="">
          <xdr:nvSpPr>
            <xdr:cNvPr id="1026" name="Check Box 2" descr="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Ley Nueva (New Law)?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229962</xdr:colOff>
      <xdr:row>24</xdr:row>
      <xdr:rowOff>102053</xdr:rowOff>
    </xdr:from>
    <xdr:to>
      <xdr:col>5</xdr:col>
      <xdr:colOff>58503</xdr:colOff>
      <xdr:row>27</xdr:row>
      <xdr:rowOff>54421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9962" y="4422321"/>
          <a:ext cx="5196559" cy="41501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2-1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26</xdr:row>
          <xdr:rowOff>19050</xdr:rowOff>
        </xdr:from>
        <xdr:to>
          <xdr:col>2</xdr:col>
          <xdr:colOff>619125</xdr:colOff>
          <xdr:row>26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74835</xdr:colOff>
      <xdr:row>0</xdr:row>
      <xdr:rowOff>114300</xdr:rowOff>
    </xdr:from>
    <xdr:to>
      <xdr:col>4</xdr:col>
      <xdr:colOff>14255</xdr:colOff>
      <xdr:row>4</xdr:row>
      <xdr:rowOff>285749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10" y="114300"/>
          <a:ext cx="2300259" cy="926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2</xdr:col>
          <xdr:colOff>1009650</xdr:colOff>
          <xdr:row>15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8</xdr:row>
          <xdr:rowOff>161925</xdr:rowOff>
        </xdr:from>
        <xdr:to>
          <xdr:col>4</xdr:col>
          <xdr:colOff>285750</xdr:colOff>
          <xdr:row>10</xdr:row>
          <xdr:rowOff>38100</xdr:rowOff>
        </xdr:to>
        <xdr:sp macro="" textlink="">
          <xdr:nvSpPr>
            <xdr:cNvPr id="1055" name="Check Box 31" descr="English ?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F30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English 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23</xdr:row>
          <xdr:rowOff>9525</xdr:rowOff>
        </xdr:from>
        <xdr:to>
          <xdr:col>2</xdr:col>
          <xdr:colOff>695325</xdr:colOff>
          <xdr:row>24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22</xdr:row>
          <xdr:rowOff>152400</xdr:rowOff>
        </xdr:from>
        <xdr:to>
          <xdr:col>4</xdr:col>
          <xdr:colOff>885825</xdr:colOff>
          <xdr:row>24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8</xdr:row>
          <xdr:rowOff>161925</xdr:rowOff>
        </xdr:from>
        <xdr:to>
          <xdr:col>3</xdr:col>
          <xdr:colOff>38100</xdr:colOff>
          <xdr:row>10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F30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Zona Fronteriza Norte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 codeName="Sheet1"/>
  <dimension ref="A1:DZ84"/>
  <sheetViews>
    <sheetView showGridLines="0" tabSelected="1" topLeftCell="A4" zoomScale="140" zoomScaleNormal="140" zoomScaleSheetLayoutView="75" workbookViewId="0">
      <selection activeCell="E20" sqref="E20"/>
    </sheetView>
  </sheetViews>
  <sheetFormatPr defaultColWidth="11" defaultRowHeight="12" x14ac:dyDescent="0.15"/>
  <cols>
    <col min="1" max="1" width="4.85546875" style="1" customWidth="1"/>
    <col min="2" max="2" width="20.140625" style="1" customWidth="1"/>
    <col min="3" max="3" width="15.28515625" style="1" customWidth="1"/>
    <col min="4" max="5" width="20.140625" style="1" customWidth="1"/>
    <col min="6" max="6" width="5.7109375" style="1" customWidth="1"/>
    <col min="7" max="7" width="13.42578125" style="1" customWidth="1"/>
    <col min="8" max="8" width="17.140625" style="1" customWidth="1"/>
    <col min="9" max="9" width="17.7109375" style="1" customWidth="1"/>
    <col min="10" max="10" width="13.7109375" style="1" bestFit="1" customWidth="1"/>
    <col min="11" max="17" width="11" style="1"/>
    <col min="18" max="18" width="11" style="1" customWidth="1"/>
    <col min="19" max="19" width="23.42578125" style="1" hidden="1" customWidth="1"/>
    <col min="20" max="20" width="10.85546875" style="1" hidden="1" customWidth="1"/>
    <col min="21" max="22" width="14.42578125" style="1" hidden="1" customWidth="1"/>
    <col min="23" max="23" width="12.28515625" style="1" hidden="1" customWidth="1"/>
    <col min="24" max="24" width="14.5703125" style="1" hidden="1" customWidth="1"/>
    <col min="25" max="25" width="11.85546875" style="1" hidden="1" customWidth="1"/>
    <col min="26" max="26" width="16.28515625" style="1" hidden="1" customWidth="1"/>
    <col min="27" max="27" width="17.28515625" style="1" hidden="1" customWidth="1"/>
    <col min="28" max="28" width="14.5703125" style="1" hidden="1" customWidth="1"/>
    <col min="29" max="30" width="16.42578125" style="1" hidden="1" customWidth="1"/>
    <col min="31" max="31" width="14.85546875" style="1" hidden="1" customWidth="1"/>
    <col min="32" max="32" width="7.7109375" style="1" hidden="1" customWidth="1"/>
    <col min="33" max="52" width="11" style="1" hidden="1" customWidth="1"/>
    <col min="53" max="60" width="11" style="1" customWidth="1"/>
    <col min="61" max="130" width="16" style="1" customWidth="1"/>
    <col min="131" max="140" width="11" style="1" customWidth="1"/>
    <col min="141" max="16384" width="11" style="1"/>
  </cols>
  <sheetData>
    <row r="1" spans="2:33" ht="16.5" x14ac:dyDescent="0.3">
      <c r="Z1" s="126" t="s">
        <v>38</v>
      </c>
      <c r="AA1" s="176">
        <f>IF($AA$2=0,'Salarios Minimos'!H10,'Salarios Minimos'!H11)</f>
        <v>102.68</v>
      </c>
      <c r="AB1" s="2"/>
      <c r="AC1" s="125" t="str">
        <f>IF($AA$8=1,"Reinstatement", "Reinstalacion")</f>
        <v>Reinstalacion</v>
      </c>
      <c r="AE1" s="69" t="s">
        <v>23</v>
      </c>
    </row>
    <row r="2" spans="2:33" ht="16.5" x14ac:dyDescent="0.3">
      <c r="B2" s="3"/>
      <c r="Z2" s="175" t="s">
        <v>85</v>
      </c>
      <c r="AA2" s="177" t="b">
        <v>0</v>
      </c>
      <c r="AB2" s="2"/>
      <c r="AC2" s="125" t="str">
        <f>IF($AA$8=1,"Indemnification", "Indemnizacion")</f>
        <v>Indemnizacion</v>
      </c>
      <c r="AD2" s="24"/>
      <c r="AE2" s="69" t="s">
        <v>24</v>
      </c>
    </row>
    <row r="3" spans="2:33" ht="12.75" x14ac:dyDescent="0.2">
      <c r="E3" s="72"/>
      <c r="F3" s="4"/>
      <c r="G3" s="5"/>
      <c r="H3" s="4"/>
      <c r="Z3" s="126" t="s">
        <v>56</v>
      </c>
      <c r="AA3" s="124">
        <f>IF(C13&gt;DATE(2019,12,31),0,1)</f>
        <v>1</v>
      </c>
      <c r="AB3" s="2"/>
      <c r="AC3" s="125" t="str">
        <f>IF($AA$8=1,"Rescission", "Rescision")</f>
        <v>Rescision</v>
      </c>
    </row>
    <row r="4" spans="2:33" ht="13.5" x14ac:dyDescent="0.25">
      <c r="B4" s="6"/>
      <c r="F4" s="4"/>
      <c r="G4" s="5"/>
      <c r="H4" s="4"/>
      <c r="Z4" s="126" t="s">
        <v>39</v>
      </c>
      <c r="AA4" s="124" t="b">
        <v>1</v>
      </c>
      <c r="AC4" s="125" t="str">
        <f>IF($AA$8=1,"Death", "Fallecimiento")</f>
        <v>Fallecimiento</v>
      </c>
      <c r="AE4" s="70" t="s">
        <v>25</v>
      </c>
      <c r="AF4" s="75">
        <f>+C15</f>
        <v>1</v>
      </c>
      <c r="AG4" s="77">
        <f>IF($AF$4=2,$E$15,1)</f>
        <v>1</v>
      </c>
    </row>
    <row r="5" spans="2:33" ht="51" customHeight="1" x14ac:dyDescent="0.25">
      <c r="B5" s="6"/>
      <c r="F5" s="4"/>
      <c r="G5" s="5"/>
      <c r="H5" s="4"/>
      <c r="Z5" s="126" t="s">
        <v>40</v>
      </c>
      <c r="AA5" s="127" t="s">
        <v>30</v>
      </c>
      <c r="AC5" s="126" t="str">
        <f>IF($AA$8=1,"Resignation","Renuncia")</f>
        <v>Renuncia</v>
      </c>
      <c r="AE5" s="73">
        <f>IF($C$20=0,HLOOKUP($AA$5,$U$20:$Y$32,10),0)*$AA$3*$E$35*$AA$6</f>
        <v>0</v>
      </c>
    </row>
    <row r="6" spans="2:33" ht="15" customHeight="1" x14ac:dyDescent="0.25">
      <c r="E6" s="38"/>
      <c r="F6" s="4"/>
      <c r="H6" s="45"/>
      <c r="I6" s="45"/>
      <c r="Z6" s="126" t="s">
        <v>41</v>
      </c>
      <c r="AA6" s="124">
        <f>IF(C26=0,1,0)</f>
        <v>1</v>
      </c>
      <c r="AB6" s="17"/>
      <c r="AC6" s="123"/>
    </row>
    <row r="7" spans="2:33" ht="13.5" customHeight="1" x14ac:dyDescent="0.3">
      <c r="C7" s="22" t="s">
        <v>22</v>
      </c>
      <c r="E7" s="38"/>
      <c r="F7" s="4"/>
      <c r="H7" s="45"/>
      <c r="I7" s="45"/>
      <c r="Z7" s="126" t="s">
        <v>43</v>
      </c>
      <c r="AA7" s="124" t="b">
        <v>0</v>
      </c>
      <c r="AB7" s="17"/>
    </row>
    <row r="8" spans="2:33" ht="13.5" customHeight="1" x14ac:dyDescent="0.25">
      <c r="B8" s="6"/>
      <c r="C8" s="214" t="str">
        <f>IF($AA$8=1," LABOR LAWSUIT MAXIMUM CONTINGENCY 2019", "     CALCULO DE CONTINGENCIAS 2019")</f>
        <v xml:space="preserve">     CALCULO DE CONTINGENCIAS 2019</v>
      </c>
      <c r="D8" s="214"/>
      <c r="F8" s="28"/>
      <c r="H8" s="44"/>
      <c r="I8" s="42"/>
      <c r="Z8" s="126" t="s">
        <v>44</v>
      </c>
      <c r="AA8" s="124" t="b">
        <v>0</v>
      </c>
    </row>
    <row r="9" spans="2:33" ht="13.5" customHeight="1" x14ac:dyDescent="0.2">
      <c r="B9" s="6"/>
      <c r="E9" s="25"/>
      <c r="F9" s="4"/>
      <c r="H9" s="62"/>
      <c r="I9" s="13"/>
      <c r="J9" s="40"/>
      <c r="Z9" s="126" t="s">
        <v>42</v>
      </c>
      <c r="AA9" s="124" t="b">
        <v>1</v>
      </c>
    </row>
    <row r="10" spans="2:33" ht="12.75" customHeight="1" x14ac:dyDescent="0.25">
      <c r="B10" s="6"/>
      <c r="C10" s="88"/>
      <c r="E10" s="25"/>
      <c r="F10" s="4"/>
      <c r="H10" s="62"/>
      <c r="I10" s="13"/>
      <c r="J10" s="40"/>
      <c r="Z10" s="126" t="s">
        <v>45</v>
      </c>
      <c r="AA10" s="166">
        <f>IF(C23="",C19-C17,(365)-(C23-C19))</f>
        <v>0</v>
      </c>
    </row>
    <row r="11" spans="2:33" ht="14.25" customHeight="1" x14ac:dyDescent="0.2">
      <c r="B11" s="6"/>
      <c r="E11" s="25"/>
      <c r="F11" s="4"/>
      <c r="H11" s="62"/>
      <c r="I11" s="13"/>
      <c r="J11" s="40"/>
      <c r="Z11" s="126" t="s">
        <v>57</v>
      </c>
      <c r="AA11" s="124" t="b">
        <v>0</v>
      </c>
    </row>
    <row r="12" spans="2:33" ht="13.5" customHeight="1" x14ac:dyDescent="0.2">
      <c r="E12" s="18"/>
      <c r="F12" s="4"/>
      <c r="G12" s="5"/>
      <c r="H12" s="61"/>
      <c r="I12" s="13"/>
      <c r="J12" s="40"/>
    </row>
    <row r="13" spans="2:33" ht="19.5" x14ac:dyDescent="0.35">
      <c r="B13" s="82" t="str">
        <f>IF($AA$8=1,"Date of Calculation", "Fecha del Calculo")</f>
        <v>Fecha del Calculo</v>
      </c>
      <c r="C13" s="43">
        <v>43514</v>
      </c>
      <c r="D13" s="37"/>
      <c r="E13" s="81" t="str">
        <f>IF($AA$8=1,"Kind of Action :", "Accion :")</f>
        <v>Accion :</v>
      </c>
      <c r="F13" s="7"/>
      <c r="I13" s="13"/>
      <c r="U13" s="49"/>
    </row>
    <row r="14" spans="2:33" ht="16.5" customHeight="1" x14ac:dyDescent="0.25">
      <c r="B14" s="79" t="str">
        <f>IF($AA$8=1,"Name :", "Nombre :")</f>
        <v>Nombre :</v>
      </c>
      <c r="C14" s="217"/>
      <c r="D14" s="218"/>
      <c r="E14" s="67"/>
      <c r="G14" s="74"/>
      <c r="I14" s="13"/>
      <c r="U14" s="49"/>
      <c r="Y14" s="13"/>
      <c r="AB14" s="16"/>
      <c r="AD14" s="24"/>
    </row>
    <row r="15" spans="2:33" ht="16.5" x14ac:dyDescent="0.3">
      <c r="B15" s="80" t="str">
        <f>IF($AA$8=1,"Currency :", "Moneda :")</f>
        <v>Moneda :</v>
      </c>
      <c r="C15" s="76">
        <v>1</v>
      </c>
      <c r="D15" s="167" t="str">
        <f>IF(C15=2,"Ex. Rate MXN x 1 USD:"," ")</f>
        <v xml:space="preserve"> </v>
      </c>
      <c r="E15" s="116"/>
      <c r="F15" s="9"/>
      <c r="G15" s="10"/>
      <c r="H15" s="154"/>
      <c r="I15" s="13"/>
      <c r="Y15" s="13"/>
      <c r="AB15" s="15"/>
    </row>
    <row r="16" spans="2:33" ht="12" customHeight="1" x14ac:dyDescent="0.2">
      <c r="G16" s="23"/>
      <c r="I16" s="13"/>
      <c r="AB16" s="31"/>
      <c r="AF16" s="16"/>
    </row>
    <row r="17" spans="2:130" ht="13.5" x14ac:dyDescent="0.25">
      <c r="B17" s="20" t="str">
        <f>IF($AA$8=1,"Date of Hire                      :", "Fecha de Ingreso              :")</f>
        <v>Fecha de Ingreso              :</v>
      </c>
      <c r="C17" s="121"/>
      <c r="D17" s="20" t="str">
        <f>IF($AA$8=1,"Vacation Days owed  :", "Dias Vac. Pendientes        :")</f>
        <v>Dias Vac. Pendientes        :</v>
      </c>
      <c r="E17" s="173"/>
      <c r="F17" s="11"/>
      <c r="H17" s="154"/>
      <c r="I17" s="13"/>
      <c r="N17" s="12" t="s">
        <v>0</v>
      </c>
      <c r="AF17" s="27"/>
    </row>
    <row r="18" spans="2:130" ht="13.5" x14ac:dyDescent="0.25">
      <c r="B18" s="20" t="str">
        <f>IF($AA$8=1,"Last Payment Date          :", "Fecha del ultimo pago     :")</f>
        <v>Fecha del ultimo pago     :</v>
      </c>
      <c r="C18" s="121"/>
      <c r="D18" s="20" t="str">
        <f>IF($AA$8=1,"Anual Vacation Days  :", "Dias Vacaciones Anuales :")</f>
        <v>Dias Vacaciones Anuales :</v>
      </c>
      <c r="E18" s="117"/>
      <c r="H18" s="30"/>
      <c r="I18" s="13"/>
      <c r="Y18" s="13"/>
      <c r="AC18" s="16"/>
      <c r="AF18" s="16"/>
    </row>
    <row r="19" spans="2:130" ht="13.5" x14ac:dyDescent="0.25">
      <c r="B19" s="20" t="str">
        <f>IF($AA$8=1,"Dismmisal Date               : ", "Fecha de Baja                   :")</f>
        <v>Fecha de Baja                   :</v>
      </c>
      <c r="C19" s="121"/>
      <c r="D19" s="20" t="str">
        <f>IF($AA$8=1,"Vacation Preimum %       :", "% Prima Vacacional          :")</f>
        <v>% Prima Vacacional          :</v>
      </c>
      <c r="E19" s="118">
        <v>0.25</v>
      </c>
      <c r="F19" s="29"/>
      <c r="I19" s="13"/>
      <c r="AB19" s="32"/>
    </row>
    <row r="20" spans="2:130" ht="13.5" x14ac:dyDescent="0.25">
      <c r="B20" s="20" t="str">
        <f>IF($AA$8=1,"Reinstatement Date        :", "Fecha de Reinstalacion   :")</f>
        <v>Fecha de Reinstalacion   :</v>
      </c>
      <c r="C20" s="121"/>
      <c r="D20" s="20" t="str">
        <f>IF($AA$8=1,"Christmas Bonus Days    :","Dias Aguinaldo Anual      :")</f>
        <v>Dias Aguinaldo Anual      :</v>
      </c>
      <c r="E20" s="119"/>
      <c r="F20" s="29"/>
      <c r="I20" s="13"/>
      <c r="U20" s="91" t="str">
        <f>IF($AA$8=1,"Reinstatement", "Reinstalacion")</f>
        <v>Reinstalacion</v>
      </c>
      <c r="V20" s="91" t="str">
        <f>IF($AA$8=1,"Indemnification", "Indemnizacion")</f>
        <v>Indemnizacion</v>
      </c>
      <c r="W20" s="91" t="str">
        <f>IF($AA$8=1,"Rescission","Rescision")</f>
        <v>Rescision</v>
      </c>
      <c r="X20" s="91" t="str">
        <f>IF($AA$8=1,"Death", "Fallecimiento")</f>
        <v>Fallecimiento</v>
      </c>
      <c r="Y20" s="91" t="str">
        <f>IF($AA$8=1,"Resignation","Renuncia")</f>
        <v>Renuncia</v>
      </c>
      <c r="AC20" s="30"/>
    </row>
    <row r="21" spans="2:130" ht="13.5" x14ac:dyDescent="0.25">
      <c r="B21" s="20" t="str">
        <f>IF($AA$8=1,"Daily Base Salary             :", "Salario Base Diario          :")</f>
        <v>Salario Base Diario          :</v>
      </c>
      <c r="C21" s="116"/>
      <c r="D21" s="20" t="str">
        <f>IF($AA$8=1,"Weekly Overtime Claimed:", "H/Extras Semanales        :")</f>
        <v>H/Extras Semanales        :</v>
      </c>
      <c r="E21" s="120"/>
      <c r="F21" s="10"/>
      <c r="I21" s="13"/>
      <c r="AC21" s="16"/>
      <c r="AF21" s="25"/>
    </row>
    <row r="22" spans="2:130" ht="13.5" x14ac:dyDescent="0.25">
      <c r="B22" s="20" t="str">
        <f>IF($AA$8=1,"Daily Integrated Salary   :", "Salario Diario Integrado :")</f>
        <v>Salario Diario Integrado :</v>
      </c>
      <c r="C22" s="181">
        <f>+C21+Integrado!G2</f>
        <v>0</v>
      </c>
      <c r="D22" s="20" t="str">
        <f>IF($AA$8=1,"Amount owed to Employee", "Otros Adeudos al Trab.    :")</f>
        <v>Otros Adeudos al Trab.    :</v>
      </c>
      <c r="E22" s="122"/>
      <c r="I22" s="13"/>
      <c r="S22" s="33" t="s">
        <v>14</v>
      </c>
      <c r="T22" s="49"/>
      <c r="U22" s="54">
        <f>IF(C17=0,0,C13-C17)</f>
        <v>0</v>
      </c>
      <c r="V22" s="56">
        <f>+C19-C17</f>
        <v>0</v>
      </c>
      <c r="W22" s="56">
        <f>+C19-C17</f>
        <v>0</v>
      </c>
      <c r="X22" s="56">
        <f>+C19-C17</f>
        <v>0</v>
      </c>
      <c r="Y22" s="55">
        <f>+C19-C17</f>
        <v>0</v>
      </c>
      <c r="AC22" s="57">
        <f>IF($C$20=0,($AA$23+$AB$23),($C$20-$C$19)+$AA$23)</f>
        <v>43514</v>
      </c>
    </row>
    <row r="23" spans="2:130" ht="13.5" x14ac:dyDescent="0.25">
      <c r="B23" s="19" t="str">
        <f>IF($AA$8=1,"Lawsuit filed date            :", "Fecha Presentacion Dem :")</f>
        <v>Fecha Presentacion Dem :</v>
      </c>
      <c r="C23" s="121"/>
      <c r="D23" s="20" t="str">
        <f>IF($AA$8=1,"Amount owed by Employee","Otros Adeudos del Trab.  :")</f>
        <v>Otros Adeudos del Trab.  :</v>
      </c>
      <c r="E23" s="178"/>
      <c r="I23" s="13"/>
      <c r="S23" s="33" t="s">
        <v>15</v>
      </c>
      <c r="U23" s="56">
        <f>IF(C17=0,0,AC23)</f>
        <v>0</v>
      </c>
      <c r="V23" s="55">
        <f>IF($C$17&lt;DATE(YEAR($C$19),1,1),$C$19-DATE(YEAR($C$19),1,1),$C$19-$C$17)+1</f>
        <v>0</v>
      </c>
      <c r="W23" s="55">
        <f>IF($C$17&lt;DATE(YEAR($C$19),1,1),$C$19-DATE(YEAR($C$19),1,1),$C$19-$C$17)+1</f>
        <v>0</v>
      </c>
      <c r="X23" s="55">
        <f>IF($C$17&lt;DATE(YEAR($C$19),1,1),$C$19-DATE(YEAR($C$19),1,1),$C$19-$C$17)+1</f>
        <v>0</v>
      </c>
      <c r="Y23" s="55">
        <f>IF($C$17&lt;DATE(YEAR($C$19),1,1),$C$19-DATE(YEAR($C$19),1,1),$C$19-$C$17)+1</f>
        <v>0</v>
      </c>
      <c r="AA23" s="57">
        <f>IF($C$17&lt;DATE(YEAR($C$19),1,1),$C$19-DATE(YEAR($C$19),1,1),$C$19-$C$17)+1</f>
        <v>0</v>
      </c>
      <c r="AB23" s="57">
        <f>C13-C19</f>
        <v>43514</v>
      </c>
      <c r="AC23" s="174">
        <f>IF(AA11=0,AA23,AB23)</f>
        <v>0</v>
      </c>
    </row>
    <row r="24" spans="2:130" ht="13.5" x14ac:dyDescent="0.25">
      <c r="B24" s="47" t="str">
        <f>IF($AA$8=1,"Statute of Limitation      :", "Prescripcion Art. 516      :")</f>
        <v>Prescripcion Art. 516      :</v>
      </c>
      <c r="C24" s="149"/>
      <c r="D24" s="47" t="s">
        <v>83</v>
      </c>
      <c r="E24" s="168" t="s">
        <v>0</v>
      </c>
      <c r="I24" s="13"/>
      <c r="S24" s="19" t="s">
        <v>13</v>
      </c>
      <c r="T24" s="53"/>
      <c r="U24" s="56">
        <f>IF(C20=0,C13-C19,C20-C19)</f>
        <v>43514</v>
      </c>
      <c r="V24" s="56">
        <f>IF(C20=0,C13-C19,C20-C19)</f>
        <v>43514</v>
      </c>
      <c r="W24" s="56">
        <f>+C13-C19</f>
        <v>43514</v>
      </c>
      <c r="X24" s="56">
        <v>0</v>
      </c>
      <c r="Y24" s="56">
        <v>0</v>
      </c>
    </row>
    <row r="25" spans="2:130" ht="11.25" customHeight="1" x14ac:dyDescent="0.25">
      <c r="I25" s="13"/>
      <c r="S25" s="19" t="s">
        <v>11</v>
      </c>
      <c r="U25" s="55">
        <f>IF(U24&gt;365,365,U24)</f>
        <v>365</v>
      </c>
      <c r="V25" s="55">
        <f>IF(V24&gt;365,365,V24)</f>
        <v>365</v>
      </c>
      <c r="W25" s="55">
        <f>IF(W24&gt;365,365,W24)</f>
        <v>365</v>
      </c>
      <c r="X25" s="58">
        <v>0</v>
      </c>
      <c r="Y25" s="58">
        <v>0</v>
      </c>
    </row>
    <row r="26" spans="2:130" ht="13.5" x14ac:dyDescent="0.25">
      <c r="B26" s="78" t="str">
        <f>IF($AA$8=1,"Judgement Date  :", "Fecha del Laudo  :")</f>
        <v>Fecha del Laudo  :</v>
      </c>
      <c r="C26" s="151"/>
      <c r="D26" s="78" t="str">
        <f>IF($AA$8=1,"Judgement Amout :","Monto del Laudo :")</f>
        <v>Monto del Laudo :</v>
      </c>
      <c r="E26" s="87"/>
      <c r="I26" s="13"/>
    </row>
    <row r="27" spans="2:130" ht="13.5" x14ac:dyDescent="0.25">
      <c r="B27" s="35" t="str">
        <f>IF($AA$8=1,"Judgement increase ?:","Incrementa el Laudo ?    :")</f>
        <v>Incrementa el Laudo ?    :</v>
      </c>
      <c r="C27" s="66"/>
      <c r="D27" s="64" t="str">
        <f>IF($AA$8=1,"Judgement Amout Adjusted :","Monto Actual del Laudo :")</f>
        <v>Monto Actual del Laudo :</v>
      </c>
      <c r="E27" s="150">
        <f>IF(E26=0,0,$AC$39+$E$26)</f>
        <v>0</v>
      </c>
      <c r="S27" s="20" t="s">
        <v>12</v>
      </c>
      <c r="T27" s="50"/>
      <c r="U27" s="48">
        <f>+$C$22*$E$33</f>
        <v>0</v>
      </c>
      <c r="V27" s="48">
        <f>+$C$22*$E$33</f>
        <v>0</v>
      </c>
      <c r="W27" s="48">
        <f>+$C$22*$E$33</f>
        <v>0</v>
      </c>
      <c r="X27" s="48">
        <v>0</v>
      </c>
      <c r="Y27" s="48">
        <v>0</v>
      </c>
    </row>
    <row r="28" spans="2:130" ht="13.5" x14ac:dyDescent="0.25">
      <c r="H28" s="13"/>
      <c r="S28" s="20" t="s">
        <v>3</v>
      </c>
      <c r="T28" s="50"/>
      <c r="U28" s="59">
        <f>((20/365)*U22)*$C$22</f>
        <v>0</v>
      </c>
      <c r="V28" s="48">
        <v>0</v>
      </c>
      <c r="W28" s="59">
        <f>((20/365)*W22)*$C$22</f>
        <v>0</v>
      </c>
      <c r="X28" s="48">
        <v>0</v>
      </c>
      <c r="Y28" s="48">
        <v>0</v>
      </c>
      <c r="Z28" s="92" t="s">
        <v>34</v>
      </c>
      <c r="AA28" s="203" t="s">
        <v>35</v>
      </c>
      <c r="AB28" s="204"/>
      <c r="AC28" s="201" t="s">
        <v>31</v>
      </c>
      <c r="AD28" s="202"/>
      <c r="AE28" s="152"/>
    </row>
    <row r="29" spans="2:130" ht="15" x14ac:dyDescent="0.25">
      <c r="D29" s="89" t="str">
        <f>IF($AA$8=1,"                            Back Salaries", "                                  Salarios Caidos")</f>
        <v xml:space="preserve">                                  Salarios Caidos</v>
      </c>
      <c r="E29" s="90"/>
      <c r="G29" s="16"/>
      <c r="S29" s="20" t="s">
        <v>28</v>
      </c>
      <c r="T29" s="50"/>
      <c r="U29" s="84">
        <f>((IF($C$21&lt;(($AA$1)*2),($U$22*0.03287671*$C$21),(($AA$1*2)*$U$22*0.03287671))))</f>
        <v>0</v>
      </c>
      <c r="V29" s="84">
        <f>((IF($C$21&lt;(($AA$1)*2),($V$22*$C$21*0.03287671),(($AA$1*2)*$V$22*0.03287671))))</f>
        <v>0</v>
      </c>
      <c r="W29" s="84">
        <f>((IF($C$21&lt;(($AA$1)*2),($V$22*$C$21*0.03287671),(($AA$1*2)*$V$22*0.03287671))))</f>
        <v>0</v>
      </c>
      <c r="X29" s="84">
        <f>((IF($C$21&lt;(($AA$1)*2),($V$22*$C$21*0.03287671),(($AA$1*2)*$V$22*0.03287671))))</f>
        <v>0</v>
      </c>
      <c r="Y29" s="85">
        <f>IF(Y22&gt;5475,X29,0)</f>
        <v>0</v>
      </c>
      <c r="Z29" s="94">
        <f>($C$21/8)*2</f>
        <v>0</v>
      </c>
      <c r="AA29" s="209" t="s">
        <v>17</v>
      </c>
      <c r="AB29" s="210"/>
      <c r="AC29" s="115" t="s">
        <v>33</v>
      </c>
      <c r="AD29" s="106" t="s">
        <v>32</v>
      </c>
      <c r="AE29" s="60"/>
    </row>
    <row r="30" spans="2:130" ht="13.5" x14ac:dyDescent="0.25">
      <c r="B30" s="34" t="str">
        <f>IF($AA$8=1,"Seniority","Dias de Antiguedad")</f>
        <v>Dias de Antiguedad</v>
      </c>
      <c r="C30" s="34" t="str">
        <f>IF($AA$8=1,"Christmas Days"," Para Aguinaldo")</f>
        <v xml:space="preserve"> Para Aguinaldo</v>
      </c>
      <c r="D30" s="34" t="s">
        <v>26</v>
      </c>
      <c r="E30" s="34" t="str">
        <f>IF($AA$8=1,"Adjusted","Ajustados")</f>
        <v>Ajustados</v>
      </c>
      <c r="G30" s="16"/>
      <c r="S30" s="20" t="s">
        <v>27</v>
      </c>
      <c r="T30" s="50"/>
      <c r="U30" s="59" t="e">
        <f>+U29/$E$15</f>
        <v>#DIV/0!</v>
      </c>
      <c r="V30" s="59" t="e">
        <f>+V29/$E$15</f>
        <v>#DIV/0!</v>
      </c>
      <c r="W30" s="59" t="e">
        <f>+W29/$E$15</f>
        <v>#DIV/0!</v>
      </c>
      <c r="X30" s="59" t="e">
        <f>+X29/$E$15</f>
        <v>#DIV/0!</v>
      </c>
      <c r="Y30" s="59" t="e">
        <f>+Y29/$E$15</f>
        <v>#DIV/0!</v>
      </c>
      <c r="Z30" s="94">
        <f>($C$21/8)*3</f>
        <v>0</v>
      </c>
      <c r="AA30" s="95">
        <f>$C$22*450</f>
        <v>0</v>
      </c>
      <c r="AB30" s="100">
        <v>1</v>
      </c>
      <c r="AC30" s="107">
        <f>+C13</f>
        <v>43514</v>
      </c>
      <c r="AD30" s="107">
        <f>+AC30</f>
        <v>43514</v>
      </c>
      <c r="AE30" s="60"/>
    </row>
    <row r="31" spans="2:130" ht="13.5" x14ac:dyDescent="0.25">
      <c r="B31" s="35">
        <f>HLOOKUP($AA$5,U20:Y25,3)</f>
        <v>0</v>
      </c>
      <c r="C31" s="39">
        <f>IF(C20="ISNULL",AA23,AA22)</f>
        <v>0</v>
      </c>
      <c r="D31" s="39">
        <f>IF(C17=0,0,HLOOKUP($AA$5,U20:Y25,5))</f>
        <v>0</v>
      </c>
      <c r="E31" s="41">
        <f>IF(AA4=1,HLOOKUP($AA$5,U20:Y25,6),D31)*AA4</f>
        <v>365</v>
      </c>
      <c r="S31" s="20" t="s">
        <v>16</v>
      </c>
      <c r="T31" s="50"/>
      <c r="U31" s="48">
        <f>IF($AA$4=1,(U25*$C$22),(U24*$C$22))</f>
        <v>0</v>
      </c>
      <c r="V31" s="48">
        <f>IF($AA$4=1,(V25*$C$22),(V24*$C$22))</f>
        <v>0</v>
      </c>
      <c r="W31" s="48">
        <f>IF($AA$4=1,(W25*$C$22),(W24*$C$22))</f>
        <v>0</v>
      </c>
      <c r="X31" s="48">
        <v>0</v>
      </c>
      <c r="Y31" s="48">
        <v>0</v>
      </c>
      <c r="AA31" s="96" t="s">
        <v>19</v>
      </c>
      <c r="AB31" s="101"/>
      <c r="AC31" s="108">
        <f>+C26</f>
        <v>0</v>
      </c>
      <c r="AD31" s="108">
        <f>+AC31</f>
        <v>0</v>
      </c>
    </row>
    <row r="32" spans="2:130" ht="13.5" x14ac:dyDescent="0.25">
      <c r="S32" s="20" t="s">
        <v>4</v>
      </c>
      <c r="T32" s="50"/>
      <c r="U32" s="48">
        <f>IF($AA$4=0,0,$AA$39)</f>
        <v>0</v>
      </c>
      <c r="V32" s="48">
        <f>IF($AA$4=0,0,$AA$39)</f>
        <v>0</v>
      </c>
      <c r="W32" s="48">
        <f>IF($AA$4=0,0,$AA$39)</f>
        <v>0</v>
      </c>
      <c r="X32" s="48">
        <v>0</v>
      </c>
      <c r="Y32" s="48">
        <v>0</v>
      </c>
      <c r="AA32" s="97">
        <f>C19+365</f>
        <v>365</v>
      </c>
      <c r="AB32" s="100"/>
      <c r="AC32" s="109" t="s">
        <v>18</v>
      </c>
      <c r="AD32" s="110" t="s">
        <v>36</v>
      </c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</row>
    <row r="33" spans="1:30" ht="13.5" x14ac:dyDescent="0.25">
      <c r="B33" s="20" t="str">
        <f>IF($AA$8=1,"Indemnity (90 days)         :","Indemnizacion (90 Dias)  :")</f>
        <v>Indemnizacion (90 Dias)  :</v>
      </c>
      <c r="C33" s="19"/>
      <c r="D33" s="144">
        <f>IF($C$20=0,HLOOKUP($AA$5,$U$20:$Y$32,8),0)*AA3*AA6</f>
        <v>0</v>
      </c>
      <c r="E33" s="171">
        <v>90</v>
      </c>
      <c r="G33" s="25"/>
      <c r="S33" s="20" t="s">
        <v>5</v>
      </c>
      <c r="T33" s="50"/>
      <c r="U33" s="48"/>
      <c r="V33" s="48"/>
      <c r="W33" s="48"/>
      <c r="X33" s="48"/>
      <c r="Y33" s="48"/>
      <c r="AA33" s="96" t="s">
        <v>20</v>
      </c>
      <c r="AB33" s="102">
        <f>+AA30</f>
        <v>0</v>
      </c>
      <c r="AC33" s="111">
        <f>(AC30-AC31)/30</f>
        <v>1450.4666666666667</v>
      </c>
      <c r="AD33" s="112">
        <f>+AD30-AD31</f>
        <v>43514</v>
      </c>
    </row>
    <row r="34" spans="1:30" ht="13.5" x14ac:dyDescent="0.25">
      <c r="B34" s="20" t="str">
        <f>IF($AA$8=1,"20 Days per Year               :","20 dias por Año :               :")</f>
        <v>20 dias por Año :               :</v>
      </c>
      <c r="C34" s="19"/>
      <c r="D34" s="144">
        <f>IF($C$20=0,HLOOKUP($AA$5,$U$20:$Y$32,9),0)*AA3*E34*AA6</f>
        <v>0</v>
      </c>
      <c r="E34" s="172">
        <v>1</v>
      </c>
      <c r="G34" s="26"/>
      <c r="S34" s="21" t="s">
        <v>6</v>
      </c>
      <c r="T34" s="51"/>
      <c r="U34" s="48">
        <f>+$U$63</f>
        <v>0</v>
      </c>
      <c r="V34" s="48">
        <f>+$U$63</f>
        <v>0</v>
      </c>
      <c r="W34" s="48">
        <f>+$U$63</f>
        <v>0</v>
      </c>
      <c r="X34" s="48">
        <f>+$U$63</f>
        <v>0</v>
      </c>
      <c r="Y34" s="48">
        <f>+$U$63</f>
        <v>0</v>
      </c>
      <c r="AA34" s="98">
        <f>IF(C20=0,C13-AA33,C20-AA33)</f>
        <v>43514</v>
      </c>
      <c r="AB34" s="103">
        <f>+AB33*0.02</f>
        <v>0</v>
      </c>
      <c r="AC34" s="153">
        <f>ROUNDDOWN(AC33,1)</f>
        <v>1450.4</v>
      </c>
      <c r="AD34" s="113">
        <f>+C22</f>
        <v>0</v>
      </c>
    </row>
    <row r="35" spans="1:30" ht="12.75" customHeight="1" x14ac:dyDescent="0.25">
      <c r="B35" s="20" t="str">
        <f>IF($AA$8=1,"Seniority Premium            :", "Prima de Antiguedad        :")</f>
        <v>Prima de Antiguedad        :</v>
      </c>
      <c r="C35" s="19"/>
      <c r="D35" s="145">
        <f>IF($C$20=0,HLOOKUP($AA$5,$U$20:$Y$43,23,0)*(AA3*E35*AA6))</f>
        <v>0</v>
      </c>
      <c r="E35" s="172">
        <v>1</v>
      </c>
      <c r="G35" s="65"/>
      <c r="I35" s="25"/>
      <c r="J35" s="25"/>
      <c r="S35" s="20" t="s">
        <v>7</v>
      </c>
      <c r="T35" s="50"/>
      <c r="U35" s="48">
        <f>+U34*$E$19</f>
        <v>0</v>
      </c>
      <c r="V35" s="48">
        <f>+V34*$E$19</f>
        <v>0</v>
      </c>
      <c r="W35" s="48">
        <f>+W34*$E$19</f>
        <v>0</v>
      </c>
      <c r="X35" s="48">
        <f>+X34*$E$19</f>
        <v>0</v>
      </c>
      <c r="Y35" s="48">
        <f>+Y34*$E$19</f>
        <v>0</v>
      </c>
      <c r="AA35" s="96" t="s">
        <v>18</v>
      </c>
      <c r="AB35" s="104">
        <f>IF(AA36&lt;1,0,AA36)</f>
        <v>1419.375</v>
      </c>
      <c r="AC35" s="113">
        <f>+AB34</f>
        <v>0</v>
      </c>
      <c r="AD35" s="113">
        <f>+AD33*AD34</f>
        <v>0</v>
      </c>
    </row>
    <row r="36" spans="1:30" ht="12" customHeight="1" x14ac:dyDescent="0.25">
      <c r="B36" s="20" t="str">
        <f>IF($AA$8=1,"Back Salaries                    : ","Salarios Caidos                  :")</f>
        <v>Salarios Caidos                  :</v>
      </c>
      <c r="C36" s="19"/>
      <c r="D36" s="145">
        <f>IF($AA$3=1,HLOOKUP($AA$5,$U$20:$Y$40,12),$D$31*$C$22)*($AA$3*($AA6))*E36</f>
        <v>0</v>
      </c>
      <c r="E36" s="172">
        <v>1</v>
      </c>
      <c r="F36" s="12"/>
      <c r="I36" s="25"/>
      <c r="J36" s="25"/>
      <c r="S36" s="46" t="s">
        <v>9</v>
      </c>
      <c r="T36" s="52"/>
      <c r="U36" s="48">
        <f>+$U$71</f>
        <v>0</v>
      </c>
      <c r="V36" s="48">
        <f>+$U$71</f>
        <v>0</v>
      </c>
      <c r="W36" s="48">
        <f>+$U$71</f>
        <v>0</v>
      </c>
      <c r="X36" s="48">
        <f>+$U$71</f>
        <v>0</v>
      </c>
      <c r="Y36" s="48">
        <f>+$U$71</f>
        <v>0</v>
      </c>
      <c r="AA36" s="99">
        <f>(AA34-AA32)/30.4</f>
        <v>1419.375</v>
      </c>
      <c r="AB36" s="105">
        <f>+AB34*AB35</f>
        <v>0</v>
      </c>
      <c r="AC36" s="113">
        <f>+AC34*AC35</f>
        <v>0</v>
      </c>
      <c r="AD36" s="114"/>
    </row>
    <row r="37" spans="1:30" ht="13.5" customHeight="1" x14ac:dyDescent="0.25">
      <c r="B37" s="20" t="str">
        <f>IF($AA$8=1,"Interest Accrued                :","Intereses                             :")</f>
        <v>Intereses                             :</v>
      </c>
      <c r="C37" s="19"/>
      <c r="D37" s="146">
        <f>IF($AA$3=1,HLOOKUP($AA$5,$U$20:$Y$32,13),0)*$AA$3*$AA$4*$E$37*$AA$6</f>
        <v>0</v>
      </c>
      <c r="E37" s="172">
        <v>1</v>
      </c>
      <c r="G37" s="16"/>
      <c r="I37" s="25"/>
      <c r="J37" s="25"/>
      <c r="S37" s="20" t="s">
        <v>8</v>
      </c>
      <c r="T37" s="50"/>
      <c r="U37" s="48">
        <f>+$U$54*($U$56*2)</f>
        <v>0</v>
      </c>
      <c r="V37" s="48">
        <f>+$U$54*($U$56*2)</f>
        <v>0</v>
      </c>
      <c r="W37" s="48">
        <f>+$U$54*($U$56*2)</f>
        <v>0</v>
      </c>
      <c r="X37" s="48">
        <f>+$U$54*($U$56*2)</f>
        <v>0</v>
      </c>
      <c r="Y37" s="48">
        <f>+$U$54*($U$56*2)</f>
        <v>0</v>
      </c>
      <c r="AC37" s="93"/>
      <c r="AD37" s="93"/>
    </row>
    <row r="38" spans="1:30" ht="13.5" customHeight="1" x14ac:dyDescent="0.25">
      <c r="B38" s="20" t="str">
        <f>IF($AA$8=1,"Salaries Owed                 :","Salarios Devengados        :")</f>
        <v>Salarios Devengados        :</v>
      </c>
      <c r="C38" s="19"/>
      <c r="D38" s="147">
        <f>((C19-C18)*C21)*AA3*E38*AA6</f>
        <v>0</v>
      </c>
      <c r="E38" s="172">
        <v>1</v>
      </c>
      <c r="G38" s="128"/>
      <c r="S38" s="20" t="s">
        <v>10</v>
      </c>
      <c r="T38" s="50"/>
      <c r="U38" s="48">
        <f>+$U$55*($U$56*3)</f>
        <v>0</v>
      </c>
      <c r="V38" s="48">
        <f>+$U$55*($U$56*3)</f>
        <v>0</v>
      </c>
      <c r="W38" s="48">
        <f>+$U$55*($U$56*3)</f>
        <v>0</v>
      </c>
      <c r="X38" s="48">
        <f>+$U$55*($U$56*3)</f>
        <v>0</v>
      </c>
      <c r="Y38" s="48">
        <f>+$U$55*($U$56*3)</f>
        <v>0</v>
      </c>
      <c r="AA38" s="211" t="s">
        <v>21</v>
      </c>
      <c r="AB38" s="212"/>
      <c r="AC38" s="201" t="s">
        <v>37</v>
      </c>
      <c r="AD38" s="213"/>
    </row>
    <row r="39" spans="1:30" ht="13.5" customHeight="1" x14ac:dyDescent="0.25">
      <c r="A39" s="1" t="s">
        <v>1</v>
      </c>
      <c r="B39" s="21" t="str">
        <f>IF($AA$8=1,"Vacation Amount owed    :", "Vacaciones                          :")</f>
        <v>Vacaciones                          :</v>
      </c>
      <c r="C39" s="19"/>
      <c r="D39" s="148">
        <f>((E17*C21)*E39)*AA3*AA6</f>
        <v>0</v>
      </c>
      <c r="E39" s="172">
        <v>1</v>
      </c>
      <c r="G39" s="129"/>
      <c r="S39" s="19" t="s">
        <v>81</v>
      </c>
      <c r="T39" s="50"/>
      <c r="U39" s="48">
        <f>+U78</f>
        <v>0</v>
      </c>
      <c r="V39" s="48">
        <v>0</v>
      </c>
      <c r="W39" s="48">
        <v>0</v>
      </c>
      <c r="X39" s="48">
        <v>0</v>
      </c>
      <c r="Y39" s="48">
        <v>0</v>
      </c>
      <c r="AA39" s="207">
        <f>+AB36</f>
        <v>0</v>
      </c>
      <c r="AB39" s="208"/>
      <c r="AC39" s="205">
        <f>IF(AA4=1,AC36,AD35)*$AA$7</f>
        <v>0</v>
      </c>
      <c r="AD39" s="206"/>
    </row>
    <row r="40" spans="1:30" ht="13.5" x14ac:dyDescent="0.25">
      <c r="B40" s="20" t="str">
        <f>IF($AA$8=1,"Vacation Premium Owed  :", "Prima Vacacional               :")</f>
        <v>Prima Vacacional               :</v>
      </c>
      <c r="C40" s="19"/>
      <c r="D40" s="148">
        <f>(D39*E19)*E40*AA3*AA6</f>
        <v>0</v>
      </c>
      <c r="E40" s="172">
        <v>1</v>
      </c>
      <c r="G40" s="83"/>
      <c r="S40" s="20" t="s">
        <v>82</v>
      </c>
      <c r="T40" s="50"/>
      <c r="U40" s="48">
        <f>+U84</f>
        <v>0</v>
      </c>
      <c r="V40" s="48">
        <v>0</v>
      </c>
      <c r="W40" s="48">
        <v>0</v>
      </c>
      <c r="X40" s="48">
        <v>0</v>
      </c>
      <c r="Y40" s="48">
        <v>0</v>
      </c>
    </row>
    <row r="41" spans="1:30" ht="13.5" x14ac:dyDescent="0.25">
      <c r="B41" s="46" t="str">
        <f>IF($AA$8=1,"Proportional Christmas    :","Aguinaldo                            :")</f>
        <v>Aguinaldo                            :</v>
      </c>
      <c r="C41" s="47"/>
      <c r="D41" s="148">
        <f>(((((E20/365)*C31))*(C21))*(E41)*AA3)*AA6</f>
        <v>0</v>
      </c>
      <c r="E41" s="172">
        <v>1</v>
      </c>
      <c r="G41" s="25"/>
    </row>
    <row r="42" spans="1:30" ht="13.5" x14ac:dyDescent="0.25">
      <c r="B42" s="20" t="str">
        <f>IF($AA$8=1,"Post Vacation Premium    :", "Prima Vacacional Post.    :")</f>
        <v>Prima Vacacional Post.    :</v>
      </c>
      <c r="D42" s="165">
        <f>IF(AA11=0,0,U40)*E42*AA3*AA6</f>
        <v>0</v>
      </c>
      <c r="E42" s="172">
        <v>1</v>
      </c>
      <c r="F42" s="26"/>
      <c r="S42" s="20" t="s">
        <v>29</v>
      </c>
      <c r="U42" s="86">
        <f>IF($AF$4=2,U30,U29)</f>
        <v>0</v>
      </c>
      <c r="V42" s="86">
        <f>IF($AF$4=2,V30,V29)</f>
        <v>0</v>
      </c>
      <c r="W42" s="86">
        <f>IF($AF$4=2,W30,W29)</f>
        <v>0</v>
      </c>
      <c r="X42" s="86">
        <f>IF($AF$4=2,X30,X29)</f>
        <v>0</v>
      </c>
      <c r="Y42" s="86">
        <f>IF($AF$4=2,Y30,Y29)</f>
        <v>0</v>
      </c>
    </row>
    <row r="43" spans="1:30" ht="13.5" customHeight="1" x14ac:dyDescent="0.25">
      <c r="B43" s="46" t="str">
        <f>IF($AA$8=1,"Proportional Christmas    :","Aguinaldo Post                   :")</f>
        <v>Aguinaldo Post                   :</v>
      </c>
      <c r="D43" s="165">
        <f>IF(AA11=0,0,U39)*E43*AA3*AA6</f>
        <v>0</v>
      </c>
      <c r="E43" s="172">
        <v>1</v>
      </c>
      <c r="AC43" s="2"/>
    </row>
    <row r="44" spans="1:30" ht="12.75" customHeight="1" x14ac:dyDescent="0.25">
      <c r="B44" s="20" t="str">
        <f>IF($AA$8=1,"Overtime (Double)             :","Tiempo Extra Doble           :")</f>
        <v>Tiempo Extra Doble           :</v>
      </c>
      <c r="C44" s="19"/>
      <c r="D44" s="148">
        <f>U37*E44*AA3*AA6</f>
        <v>0</v>
      </c>
      <c r="E44" s="172">
        <v>1</v>
      </c>
    </row>
    <row r="45" spans="1:30" ht="13.5" customHeight="1" x14ac:dyDescent="0.25">
      <c r="B45" s="20" t="str">
        <f>IF($AA$8=1,"Overtime (Triple)                :","Tiempo Extra Triple            :")</f>
        <v>Tiempo Extra Triple            :</v>
      </c>
      <c r="C45" s="19"/>
      <c r="D45" s="148">
        <f>U38*E45*AA3*AA6</f>
        <v>0</v>
      </c>
      <c r="E45" s="172">
        <v>1</v>
      </c>
      <c r="G45" s="16"/>
    </row>
    <row r="46" spans="1:30" ht="13.5" customHeight="1" x14ac:dyDescent="0.25">
      <c r="B46" s="20" t="str">
        <f>IF($AA$8=1,"Amount owed to employee","Otros Adeudos al Trab.     :")</f>
        <v>Otros Adeudos al Trab.     :</v>
      </c>
      <c r="C46" s="19"/>
      <c r="D46" s="147">
        <f>(+E22*E46)*$AA$3*AA6</f>
        <v>0</v>
      </c>
      <c r="E46" s="172">
        <v>1</v>
      </c>
      <c r="G46" s="13"/>
    </row>
    <row r="47" spans="1:30" ht="13.5" customHeight="1" x14ac:dyDescent="0.25">
      <c r="B47" s="20" t="str">
        <f>IF($AA$8=1,"Amount owed by employee","Otros Adeudos del Trab.   :")</f>
        <v>Otros Adeudos del Trab.   :</v>
      </c>
      <c r="C47" s="19"/>
      <c r="D47" s="147">
        <f>(E23*E47)*$AA$3*E47*AA6</f>
        <v>0</v>
      </c>
      <c r="E47" s="172">
        <v>1</v>
      </c>
    </row>
    <row r="48" spans="1:30" ht="13.5" customHeight="1" x14ac:dyDescent="0.3">
      <c r="B48" s="20" t="str">
        <f>IF($AA$8=1,"Actual Judgement Amout :","Monto Actual del Laudo   :")</f>
        <v>Monto Actual del Laudo   :</v>
      </c>
      <c r="C48" s="19"/>
      <c r="D48" s="145">
        <f>IF(C26=0,0,(E27)*AA3)*E48</f>
        <v>0</v>
      </c>
      <c r="E48" s="172">
        <v>1</v>
      </c>
      <c r="U48" s="215" t="s">
        <v>58</v>
      </c>
      <c r="V48" s="216"/>
      <c r="W48" s="216"/>
    </row>
    <row r="49" spans="2:24" x14ac:dyDescent="0.15">
      <c r="G49" s="63"/>
    </row>
    <row r="50" spans="2:24" ht="16.5" x14ac:dyDescent="0.3">
      <c r="B50" s="8"/>
      <c r="C50" s="68" t="s">
        <v>2</v>
      </c>
      <c r="D50" s="71" t="str">
        <f>IF(C15=2,"USD","MXN")</f>
        <v>MXN</v>
      </c>
      <c r="E50" s="36">
        <f>SUM(D33:D48)-D47+D48</f>
        <v>0</v>
      </c>
      <c r="S50" s="19" t="s">
        <v>64</v>
      </c>
      <c r="T50" s="72"/>
      <c r="U50" s="56">
        <f>+E21</f>
        <v>0</v>
      </c>
      <c r="V50" s="155" t="s">
        <v>59</v>
      </c>
      <c r="W50" s="155"/>
      <c r="X50" s="156">
        <f>+$C$23</f>
        <v>0</v>
      </c>
    </row>
    <row r="51" spans="2:24" ht="13.5" x14ac:dyDescent="0.25">
      <c r="S51" s="20" t="s">
        <v>63</v>
      </c>
      <c r="U51" s="55">
        <f>IF((AND(AA4=1,$U$50&gt;9)),9,$U$50)</f>
        <v>0</v>
      </c>
      <c r="V51" s="155" t="s">
        <v>67</v>
      </c>
      <c r="X51" s="156">
        <f>+$C$17</f>
        <v>0</v>
      </c>
    </row>
    <row r="52" spans="2:24" ht="13.5" x14ac:dyDescent="0.25">
      <c r="B52" s="169"/>
      <c r="C52" s="169"/>
      <c r="D52" s="169"/>
      <c r="E52" s="169"/>
      <c r="G52" s="13"/>
      <c r="S52" s="19" t="s">
        <v>65</v>
      </c>
      <c r="U52" s="55">
        <f>IF((B31/7)&gt;52,52,(B31/7))</f>
        <v>0</v>
      </c>
      <c r="V52" s="155" t="s">
        <v>60</v>
      </c>
      <c r="W52" s="155"/>
      <c r="X52" s="156">
        <f>+$C$19</f>
        <v>0</v>
      </c>
    </row>
    <row r="53" spans="2:24" ht="13.5" x14ac:dyDescent="0.25">
      <c r="B53" s="169"/>
      <c r="C53" s="169"/>
      <c r="D53" s="169"/>
      <c r="E53" s="169"/>
      <c r="S53" s="19" t="s">
        <v>66</v>
      </c>
      <c r="U53" s="159">
        <f>($X$52-$X$53)/7</f>
        <v>52.142857142857146</v>
      </c>
      <c r="V53" s="155" t="s">
        <v>42</v>
      </c>
      <c r="W53" s="155"/>
      <c r="X53" s="156">
        <f>IF($AA$9=1,$X$50-365,$C$17)</f>
        <v>-365</v>
      </c>
    </row>
    <row r="54" spans="2:24" ht="13.5" x14ac:dyDescent="0.25">
      <c r="B54" s="169"/>
      <c r="C54" s="169"/>
      <c r="D54" s="170"/>
      <c r="E54" s="169"/>
      <c r="G54" s="13"/>
      <c r="S54" s="158" t="s">
        <v>61</v>
      </c>
      <c r="U54" s="56">
        <f>IF(U51&gt;9,9,U51)*U53</f>
        <v>0</v>
      </c>
      <c r="V54" s="155" t="s">
        <v>70</v>
      </c>
      <c r="X54" s="157">
        <f>+X50-X53</f>
        <v>365</v>
      </c>
    </row>
    <row r="55" spans="2:24" ht="13.5" x14ac:dyDescent="0.25">
      <c r="D55" s="14" t="s">
        <v>0</v>
      </c>
      <c r="G55" s="12"/>
      <c r="S55" s="158" t="s">
        <v>62</v>
      </c>
      <c r="U55" s="56">
        <f>IF(U51&gt;9,U51-9,0)*U53</f>
        <v>0</v>
      </c>
    </row>
    <row r="56" spans="2:24" ht="13.5" x14ac:dyDescent="0.25">
      <c r="D56" s="12" t="s">
        <v>0</v>
      </c>
      <c r="G56" s="12"/>
      <c r="S56" s="158" t="s">
        <v>68</v>
      </c>
      <c r="U56" s="161">
        <f>+C21/8</f>
        <v>0</v>
      </c>
    </row>
    <row r="57" spans="2:24" x14ac:dyDescent="0.15">
      <c r="D57" s="12" t="s">
        <v>0</v>
      </c>
      <c r="G57" s="12" t="s">
        <v>0</v>
      </c>
    </row>
    <row r="58" spans="2:24" x14ac:dyDescent="0.15">
      <c r="D58" s="12" t="s">
        <v>0</v>
      </c>
      <c r="G58" s="12" t="s">
        <v>0</v>
      </c>
    </row>
    <row r="59" spans="2:24" ht="15.75" x14ac:dyDescent="0.3">
      <c r="D59" s="12" t="s">
        <v>0</v>
      </c>
      <c r="G59" s="12" t="s">
        <v>0</v>
      </c>
      <c r="U59" s="215" t="s">
        <v>69</v>
      </c>
      <c r="V59" s="216"/>
      <c r="W59" s="216"/>
    </row>
    <row r="61" spans="2:24" ht="13.5" x14ac:dyDescent="0.25">
      <c r="S61" s="19" t="s">
        <v>73</v>
      </c>
      <c r="T61" s="155"/>
      <c r="U61" s="56">
        <f>+E18</f>
        <v>0</v>
      </c>
      <c r="V61" s="155"/>
      <c r="W61" s="155"/>
      <c r="X61" s="156"/>
    </row>
    <row r="62" spans="2:24" ht="13.5" x14ac:dyDescent="0.25">
      <c r="S62" s="19" t="s">
        <v>72</v>
      </c>
      <c r="T62" s="155"/>
      <c r="U62" s="56">
        <f>X54/365</f>
        <v>1</v>
      </c>
      <c r="V62" s="155"/>
      <c r="X62" s="156"/>
    </row>
    <row r="63" spans="2:24" ht="13.5" x14ac:dyDescent="0.25">
      <c r="S63" s="158" t="s">
        <v>71</v>
      </c>
      <c r="U63" s="162">
        <f>(U61*U62)*C21</f>
        <v>0</v>
      </c>
      <c r="V63" s="155"/>
      <c r="W63" s="155"/>
      <c r="X63" s="156"/>
    </row>
    <row r="64" spans="2:24" x14ac:dyDescent="0.15">
      <c r="V64" s="155"/>
      <c r="W64" s="155"/>
      <c r="X64" s="156"/>
    </row>
    <row r="67" spans="19:24" ht="15.75" x14ac:dyDescent="0.3">
      <c r="U67" s="215" t="s">
        <v>74</v>
      </c>
      <c r="V67" s="216"/>
      <c r="W67" s="216"/>
    </row>
    <row r="69" spans="19:24" ht="13.5" x14ac:dyDescent="0.25">
      <c r="S69" s="19" t="s">
        <v>75</v>
      </c>
      <c r="T69" s="155"/>
      <c r="U69" s="56">
        <f>+E20</f>
        <v>0</v>
      </c>
      <c r="V69" s="155"/>
    </row>
    <row r="70" spans="19:24" ht="13.5" x14ac:dyDescent="0.25">
      <c r="S70" s="19" t="s">
        <v>72</v>
      </c>
      <c r="T70" s="155"/>
      <c r="U70" s="56">
        <f>X54/365</f>
        <v>1</v>
      </c>
    </row>
    <row r="71" spans="19:24" ht="13.5" x14ac:dyDescent="0.25">
      <c r="S71" s="158" t="s">
        <v>71</v>
      </c>
      <c r="U71" s="162">
        <f>(U69*U70)*C21</f>
        <v>0</v>
      </c>
    </row>
    <row r="75" spans="19:24" ht="13.5" x14ac:dyDescent="0.25">
      <c r="U75" s="215" t="s">
        <v>77</v>
      </c>
      <c r="V75" s="215"/>
      <c r="W75" s="215"/>
    </row>
    <row r="78" spans="19:24" ht="13.5" x14ac:dyDescent="0.25">
      <c r="S78" s="160" t="s">
        <v>79</v>
      </c>
      <c r="T78" s="155">
        <f>+E20/365</f>
        <v>0</v>
      </c>
      <c r="U78" s="164">
        <f>+T78*X80*C21</f>
        <v>0</v>
      </c>
      <c r="V78" s="155" t="s">
        <v>76</v>
      </c>
      <c r="X78" s="163">
        <f>+C13</f>
        <v>43514</v>
      </c>
    </row>
    <row r="79" spans="19:24" x14ac:dyDescent="0.15">
      <c r="V79" s="155" t="s">
        <v>60</v>
      </c>
      <c r="W79" s="155"/>
      <c r="X79" s="156">
        <f>+$C$19</f>
        <v>0</v>
      </c>
    </row>
    <row r="80" spans="19:24" x14ac:dyDescent="0.15">
      <c r="V80" s="155" t="s">
        <v>78</v>
      </c>
      <c r="X80" s="157">
        <f>+X78-X79</f>
        <v>43514</v>
      </c>
    </row>
    <row r="84" spans="19:21" ht="13.5" x14ac:dyDescent="0.25">
      <c r="S84" s="158" t="s">
        <v>80</v>
      </c>
      <c r="T84" s="155">
        <f>+E18/365</f>
        <v>0</v>
      </c>
      <c r="U84" s="164">
        <f>(T84*X80)*C21</f>
        <v>0</v>
      </c>
    </row>
  </sheetData>
  <sheetProtection password="DF5E" sheet="1" selectLockedCells="1"/>
  <mergeCells count="13">
    <mergeCell ref="C8:D8"/>
    <mergeCell ref="U48:W48"/>
    <mergeCell ref="U59:W59"/>
    <mergeCell ref="U67:W67"/>
    <mergeCell ref="U75:W75"/>
    <mergeCell ref="C14:D14"/>
    <mergeCell ref="AC28:AD28"/>
    <mergeCell ref="AA28:AB28"/>
    <mergeCell ref="AC39:AD39"/>
    <mergeCell ref="AA39:AB39"/>
    <mergeCell ref="AA29:AB29"/>
    <mergeCell ref="AA38:AB38"/>
    <mergeCell ref="AC38:AD38"/>
  </mergeCells>
  <phoneticPr fontId="15" type="noConversion"/>
  <dataValidations count="7">
    <dataValidation type="date" operator="lessThan" allowBlank="1" showInputMessage="1" showErrorMessage="1" errorTitle="ERROR EN FECHA" error="La fecha de ingreso no puede ser posterior a la de calculo (C10)" sqref="C17" xr:uid="{00000000-0002-0000-0000-000000000000}">
      <formula1>C13</formula1>
    </dataValidation>
    <dataValidation type="date" operator="lessThanOrEqual" allowBlank="1" showInputMessage="1" showErrorMessage="1" errorTitle="ERROR EN FECHA" error="La fecha del ultimo pago de nomina no puede ser anterior a la de ingreso (C13)" sqref="C18" xr:uid="{00000000-0002-0000-0000-000001000000}">
      <formula1>C19</formula1>
    </dataValidation>
    <dataValidation type="custom" operator="greaterThan" showInputMessage="1" showErrorMessage="1" errorTitle="ERROR EN FECHA" error="Primero Ingresa la Fecha del ultimo pago (C18), oprime Cancel por favor._x000a__x000a_You have to enter the last payrol date (C18) first, please select Cancel." sqref="C19" xr:uid="{00000000-0002-0000-0000-000002000000}">
      <formula1>C18&lt;&gt;""</formula1>
    </dataValidation>
    <dataValidation type="date" operator="greaterThan" allowBlank="1" showInputMessage="1" showErrorMessage="1" error="La fecha de Reinstalacion no puede ser anterior a la de baja (C15)" sqref="C20" xr:uid="{00000000-0002-0000-0000-000003000000}">
      <formula1>C19</formula1>
    </dataValidation>
    <dataValidation type="decimal" operator="greaterThanOrEqual" allowBlank="1" showInputMessage="1" showErrorMessage="1" errorTitle="MONTO EQUIVOCADO" error="El monto del Salario Diario Integrado no puede ser menor que el salario diario base  (C17)" sqref="C22" xr:uid="{00000000-0002-0000-0000-000004000000}">
      <formula1>C21</formula1>
    </dataValidation>
    <dataValidation type="custom" showInputMessage="1" showErrorMessage="1" error="Solo se debe ingresar el tipo de cambio cuendo el salario es en USD !  Por favor Selecione Cancelar._x000a__x000a_Exchange rate most be entered only when salary is in USD! Please select Cancel." sqref="E15" xr:uid="{00000000-0002-0000-0000-000005000000}">
      <formula1>IF($C$15=1,FALSE,TRUE)</formula1>
    </dataValidation>
    <dataValidation type="custom" showInputMessage="1" showErrorMessage="1" error="Ingresa la FECHA del laudo primero, por favor seleciona Cancel._x000a__x000a_Enter the Judgement DATE first, please select Cancel." sqref="E26" xr:uid="{00000000-0002-0000-0000-000006000000}">
      <formula1>$C$26&lt;&gt;""</formula1>
    </dataValidation>
  </dataValidations>
  <pageMargins left="1.2" right="1.2" top="0.5" bottom="0.25" header="0" footer="0"/>
  <pageSetup scale="90" orientation="portrait" horizontalDpi="120" verticalDpi="14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locked="0" defaultSize="0" autoLine="0" linkedCell="AA5" listFillRange="Acciones1" r:id="rId5">
            <anchor moveWithCells="1">
              <from>
                <xdr:col>4</xdr:col>
                <xdr:colOff>19050</xdr:colOff>
                <xdr:row>12</xdr:row>
                <xdr:rowOff>228600</xdr:rowOff>
              </from>
              <to>
                <xdr:col>4</xdr:col>
                <xdr:colOff>1247775</xdr:colOff>
                <xdr:row>13</xdr:row>
                <xdr:rowOff>200025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heck Box 2">
          <controlPr locked="0" defaultSize="0" autoFill="0" autoLine="0" autoPict="0" altText="_x000a_">
            <anchor moveWithCells="1">
              <from>
                <xdr:col>3</xdr:col>
                <xdr:colOff>9525</xdr:colOff>
                <xdr:row>12</xdr:row>
                <xdr:rowOff>9525</xdr:rowOff>
              </from>
              <to>
                <xdr:col>3</xdr:col>
                <xdr:colOff>1247775</xdr:colOff>
                <xdr:row>12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7" name="Check Box 4">
          <controlPr locked="0" defaultSize="0" autoFill="0" autoLine="0" autoPict="0">
            <anchor moveWithCells="1">
              <from>
                <xdr:col>2</xdr:col>
                <xdr:colOff>400050</xdr:colOff>
                <xdr:row>26</xdr:row>
                <xdr:rowOff>19050</xdr:rowOff>
              </from>
              <to>
                <xdr:col>2</xdr:col>
                <xdr:colOff>619125</xdr:colOff>
                <xdr:row>26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8" name="Drop Down 20">
          <controlPr locked="0" defaultSize="0" autoLine="0" autoPict="0">
            <anchor moveWithCells="1">
              <from>
                <xdr:col>2</xdr:col>
                <xdr:colOff>9525</xdr:colOff>
                <xdr:row>14</xdr:row>
                <xdr:rowOff>9525</xdr:rowOff>
              </from>
              <to>
                <xdr:col>2</xdr:col>
                <xdr:colOff>1009650</xdr:colOff>
                <xdr:row>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9" name="Check Box 31">
          <controlPr locked="0" defaultSize="0" autoFill="0" autoLine="0" autoPict="0" altText="English ?">
            <anchor moveWithCells="1">
              <from>
                <xdr:col>3</xdr:col>
                <xdr:colOff>819150</xdr:colOff>
                <xdr:row>8</xdr:row>
                <xdr:rowOff>161925</xdr:rowOff>
              </from>
              <to>
                <xdr:col>4</xdr:col>
                <xdr:colOff>285750</xdr:colOff>
                <xdr:row>10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0" name="Check Box 32">
          <controlPr locked="0" defaultSize="0" autoFill="0" autoLine="0" autoPict="0">
            <anchor moveWithCells="1">
              <from>
                <xdr:col>2</xdr:col>
                <xdr:colOff>400050</xdr:colOff>
                <xdr:row>23</xdr:row>
                <xdr:rowOff>9525</xdr:rowOff>
              </from>
              <to>
                <xdr:col>2</xdr:col>
                <xdr:colOff>695325</xdr:colOff>
                <xdr:row>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11" name="Check Box 33">
          <controlPr locked="0" defaultSize="0" autoFill="0" autoLine="0" autoPict="0">
            <anchor moveWithCells="1">
              <from>
                <xdr:col>4</xdr:col>
                <xdr:colOff>581025</xdr:colOff>
                <xdr:row>22</xdr:row>
                <xdr:rowOff>152400</xdr:rowOff>
              </from>
              <to>
                <xdr:col>4</xdr:col>
                <xdr:colOff>885825</xdr:colOff>
                <xdr:row>24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2" name="Check Box 36">
          <controlPr locked="0" defaultSize="0" autoFill="0" autoLine="0" autoPict="0">
            <anchor moveWithCells="1">
              <from>
                <xdr:col>1</xdr:col>
                <xdr:colOff>1123950</xdr:colOff>
                <xdr:row>8</xdr:row>
                <xdr:rowOff>161925</xdr:rowOff>
              </from>
              <to>
                <xdr:col>3</xdr:col>
                <xdr:colOff>38100</xdr:colOff>
                <xdr:row>10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75BA-02B9-4686-ABEA-DD69109295F7}">
  <dimension ref="A1:G200"/>
  <sheetViews>
    <sheetView workbookViewId="0">
      <selection activeCell="H5" sqref="H5"/>
    </sheetView>
  </sheetViews>
  <sheetFormatPr defaultRowHeight="15" x14ac:dyDescent="0.25"/>
  <cols>
    <col min="1" max="1" width="33.28515625" customWidth="1"/>
    <col min="2" max="2" width="18" customWidth="1"/>
    <col min="3" max="3" width="23.85546875" customWidth="1"/>
    <col min="4" max="4" width="12.42578125" style="180" customWidth="1"/>
    <col min="6" max="6" width="16.140625" customWidth="1"/>
    <col min="7" max="7" width="17.85546875" customWidth="1"/>
  </cols>
  <sheetData>
    <row r="1" spans="1:7" x14ac:dyDescent="0.25">
      <c r="B1" t="s">
        <v>86</v>
      </c>
      <c r="C1" t="s">
        <v>87</v>
      </c>
      <c r="D1" s="179" t="s">
        <v>88</v>
      </c>
    </row>
    <row r="2" spans="1:7" ht="30" x14ac:dyDescent="0.25">
      <c r="A2" s="184"/>
      <c r="B2" s="185"/>
      <c r="C2" s="184"/>
      <c r="D2" s="179"/>
      <c r="F2" s="182" t="s">
        <v>89</v>
      </c>
      <c r="G2" s="183">
        <f>SUM(D2:D200)</f>
        <v>0</v>
      </c>
    </row>
    <row r="3" spans="1:7" x14ac:dyDescent="0.25">
      <c r="A3" s="184"/>
      <c r="B3" s="185"/>
      <c r="C3" s="184"/>
    </row>
    <row r="4" spans="1:7" x14ac:dyDescent="0.25">
      <c r="A4" s="184"/>
      <c r="B4" s="185"/>
      <c r="C4" s="184"/>
    </row>
    <row r="5" spans="1:7" x14ac:dyDescent="0.25">
      <c r="A5" s="184"/>
      <c r="B5" s="185"/>
      <c r="C5" s="184"/>
    </row>
    <row r="6" spans="1:7" x14ac:dyDescent="0.25">
      <c r="A6" s="184"/>
      <c r="B6" s="185"/>
      <c r="C6" s="184"/>
    </row>
    <row r="7" spans="1:7" x14ac:dyDescent="0.25">
      <c r="A7" s="184"/>
      <c r="B7" s="185"/>
      <c r="C7" s="184"/>
    </row>
    <row r="8" spans="1:7" x14ac:dyDescent="0.25">
      <c r="A8" s="184"/>
      <c r="B8" s="184"/>
      <c r="C8" s="184"/>
    </row>
    <row r="9" spans="1:7" x14ac:dyDescent="0.25">
      <c r="A9" s="184"/>
      <c r="B9" s="184"/>
      <c r="C9" s="184"/>
    </row>
    <row r="10" spans="1:7" x14ac:dyDescent="0.25">
      <c r="A10" s="184"/>
      <c r="B10" s="184"/>
      <c r="C10" s="184"/>
    </row>
    <row r="11" spans="1:7" x14ac:dyDescent="0.25">
      <c r="A11" s="184"/>
      <c r="B11" s="184"/>
      <c r="C11" s="184"/>
    </row>
    <row r="12" spans="1:7" x14ac:dyDescent="0.25">
      <c r="A12" s="184"/>
      <c r="B12" s="184"/>
      <c r="C12" s="184"/>
    </row>
    <row r="13" spans="1:7" x14ac:dyDescent="0.25">
      <c r="A13" s="184"/>
      <c r="B13" s="184"/>
      <c r="C13" s="184"/>
    </row>
    <row r="14" spans="1:7" x14ac:dyDescent="0.25">
      <c r="A14" s="184"/>
      <c r="B14" s="184"/>
      <c r="C14" s="184"/>
    </row>
    <row r="15" spans="1:7" x14ac:dyDescent="0.25">
      <c r="A15" s="184"/>
      <c r="B15" s="184"/>
      <c r="C15" s="184"/>
    </row>
    <row r="16" spans="1:7" x14ac:dyDescent="0.25">
      <c r="A16" s="184"/>
      <c r="B16" s="184"/>
      <c r="C16" s="184"/>
    </row>
    <row r="17" spans="1:3" x14ac:dyDescent="0.25">
      <c r="A17" s="184"/>
      <c r="B17" s="184"/>
      <c r="C17" s="184"/>
    </row>
    <row r="18" spans="1:3" x14ac:dyDescent="0.25">
      <c r="A18" s="184"/>
      <c r="B18" s="184"/>
      <c r="C18" s="184"/>
    </row>
    <row r="19" spans="1:3" x14ac:dyDescent="0.25">
      <c r="A19" s="184"/>
      <c r="B19" s="184"/>
      <c r="C19" s="184"/>
    </row>
    <row r="20" spans="1:3" x14ac:dyDescent="0.25">
      <c r="A20" s="184"/>
      <c r="B20" s="184"/>
      <c r="C20" s="184"/>
    </row>
    <row r="21" spans="1:3" x14ac:dyDescent="0.25">
      <c r="A21" s="184"/>
      <c r="B21" s="184"/>
      <c r="C21" s="184"/>
    </row>
    <row r="22" spans="1:3" x14ac:dyDescent="0.25">
      <c r="A22" s="184"/>
      <c r="B22" s="184"/>
      <c r="C22" s="184"/>
    </row>
    <row r="23" spans="1:3" x14ac:dyDescent="0.25">
      <c r="A23" s="184"/>
      <c r="B23" s="184"/>
      <c r="C23" s="184"/>
    </row>
    <row r="24" spans="1:3" x14ac:dyDescent="0.25">
      <c r="A24" s="184"/>
      <c r="B24" s="184"/>
      <c r="C24" s="184"/>
    </row>
    <row r="25" spans="1:3" x14ac:dyDescent="0.25">
      <c r="A25" s="184"/>
      <c r="B25" s="184"/>
      <c r="C25" s="184"/>
    </row>
    <row r="26" spans="1:3" x14ac:dyDescent="0.25">
      <c r="A26" s="184"/>
      <c r="B26" s="184"/>
      <c r="C26" s="184"/>
    </row>
    <row r="27" spans="1:3" x14ac:dyDescent="0.25">
      <c r="A27" s="184"/>
      <c r="B27" s="184"/>
      <c r="C27" s="184"/>
    </row>
    <row r="28" spans="1:3" x14ac:dyDescent="0.25">
      <c r="A28" s="184"/>
      <c r="B28" s="184"/>
      <c r="C28" s="184"/>
    </row>
    <row r="29" spans="1:3" x14ac:dyDescent="0.25">
      <c r="A29" s="184"/>
      <c r="B29" s="184"/>
      <c r="C29" s="184"/>
    </row>
    <row r="30" spans="1:3" x14ac:dyDescent="0.25">
      <c r="A30" s="184"/>
      <c r="B30" s="184"/>
      <c r="C30" s="184"/>
    </row>
    <row r="31" spans="1:3" x14ac:dyDescent="0.25">
      <c r="A31" s="184"/>
      <c r="B31" s="184"/>
      <c r="C31" s="184"/>
    </row>
    <row r="32" spans="1:3" x14ac:dyDescent="0.25">
      <c r="A32" s="184"/>
      <c r="B32" s="184"/>
      <c r="C32" s="184"/>
    </row>
    <row r="33" spans="1:3" x14ac:dyDescent="0.25">
      <c r="A33" s="184"/>
      <c r="B33" s="184"/>
      <c r="C33" s="184"/>
    </row>
    <row r="34" spans="1:3" x14ac:dyDescent="0.25">
      <c r="A34" s="184"/>
      <c r="B34" s="184"/>
      <c r="C34" s="184"/>
    </row>
    <row r="35" spans="1:3" x14ac:dyDescent="0.25">
      <c r="A35" s="184"/>
      <c r="B35" s="184"/>
      <c r="C35" s="184"/>
    </row>
    <row r="36" spans="1:3" x14ac:dyDescent="0.25">
      <c r="A36" s="184"/>
      <c r="B36" s="184"/>
      <c r="C36" s="184"/>
    </row>
    <row r="37" spans="1:3" x14ac:dyDescent="0.25">
      <c r="A37" s="184"/>
      <c r="B37" s="184"/>
      <c r="C37" s="184"/>
    </row>
    <row r="38" spans="1:3" x14ac:dyDescent="0.25">
      <c r="A38" s="184"/>
      <c r="B38" s="184"/>
      <c r="C38" s="184"/>
    </row>
    <row r="39" spans="1:3" x14ac:dyDescent="0.25">
      <c r="A39" s="184"/>
      <c r="B39" s="184"/>
      <c r="C39" s="184"/>
    </row>
    <row r="40" spans="1:3" x14ac:dyDescent="0.25">
      <c r="A40" s="184"/>
      <c r="B40" s="184"/>
      <c r="C40" s="184"/>
    </row>
    <row r="41" spans="1:3" x14ac:dyDescent="0.25">
      <c r="A41" s="184"/>
      <c r="B41" s="184"/>
      <c r="C41" s="184"/>
    </row>
    <row r="42" spans="1:3" x14ac:dyDescent="0.25">
      <c r="A42" s="184"/>
      <c r="B42" s="184"/>
      <c r="C42" s="184"/>
    </row>
    <row r="43" spans="1:3" x14ac:dyDescent="0.25">
      <c r="A43" s="184"/>
      <c r="B43" s="184"/>
      <c r="C43" s="184"/>
    </row>
    <row r="44" spans="1:3" x14ac:dyDescent="0.25">
      <c r="A44" s="184"/>
      <c r="B44" s="184"/>
      <c r="C44" s="184"/>
    </row>
    <row r="45" spans="1:3" x14ac:dyDescent="0.25">
      <c r="A45" s="184"/>
      <c r="B45" s="184"/>
      <c r="C45" s="184"/>
    </row>
    <row r="46" spans="1:3" x14ac:dyDescent="0.25">
      <c r="A46" s="184"/>
      <c r="B46" s="184"/>
      <c r="C46" s="184"/>
    </row>
    <row r="47" spans="1:3" x14ac:dyDescent="0.25">
      <c r="A47" s="184"/>
      <c r="B47" s="184"/>
      <c r="C47" s="184"/>
    </row>
    <row r="48" spans="1:3" x14ac:dyDescent="0.25">
      <c r="A48" s="184"/>
      <c r="B48" s="184"/>
      <c r="C48" s="184"/>
    </row>
    <row r="49" spans="1:3" x14ac:dyDescent="0.25">
      <c r="A49" s="184"/>
      <c r="B49" s="184"/>
      <c r="C49" s="184"/>
    </row>
    <row r="50" spans="1:3" x14ac:dyDescent="0.25">
      <c r="A50" s="184"/>
      <c r="B50" s="184"/>
      <c r="C50" s="184"/>
    </row>
    <row r="51" spans="1:3" x14ac:dyDescent="0.25">
      <c r="A51" s="184"/>
      <c r="B51" s="184"/>
      <c r="C51" s="184"/>
    </row>
    <row r="52" spans="1:3" x14ac:dyDescent="0.25">
      <c r="A52" s="184"/>
      <c r="B52" s="184"/>
      <c r="C52" s="184"/>
    </row>
    <row r="53" spans="1:3" x14ac:dyDescent="0.25">
      <c r="A53" s="184"/>
      <c r="B53" s="184"/>
      <c r="C53" s="184"/>
    </row>
    <row r="54" spans="1:3" x14ac:dyDescent="0.25">
      <c r="A54" s="184"/>
      <c r="B54" s="184"/>
      <c r="C54" s="184"/>
    </row>
    <row r="55" spans="1:3" x14ac:dyDescent="0.25">
      <c r="A55" s="184"/>
      <c r="B55" s="184"/>
      <c r="C55" s="184"/>
    </row>
    <row r="56" spans="1:3" x14ac:dyDescent="0.25">
      <c r="A56" s="184"/>
      <c r="B56" s="184"/>
      <c r="C56" s="184"/>
    </row>
    <row r="57" spans="1:3" x14ac:dyDescent="0.25">
      <c r="A57" s="184"/>
      <c r="B57" s="184"/>
      <c r="C57" s="184"/>
    </row>
    <row r="58" spans="1:3" x14ac:dyDescent="0.25">
      <c r="A58" s="184"/>
      <c r="B58" s="184"/>
      <c r="C58" s="184"/>
    </row>
    <row r="59" spans="1:3" x14ac:dyDescent="0.25">
      <c r="A59" s="184"/>
      <c r="B59" s="184"/>
      <c r="C59" s="184"/>
    </row>
    <row r="60" spans="1:3" x14ac:dyDescent="0.25">
      <c r="A60" s="184"/>
      <c r="B60" s="184"/>
      <c r="C60" s="184"/>
    </row>
    <row r="61" spans="1:3" x14ac:dyDescent="0.25">
      <c r="A61" s="184"/>
      <c r="B61" s="184"/>
      <c r="C61" s="184"/>
    </row>
    <row r="62" spans="1:3" x14ac:dyDescent="0.25">
      <c r="A62" s="184"/>
      <c r="B62" s="184"/>
      <c r="C62" s="184"/>
    </row>
    <row r="63" spans="1:3" x14ac:dyDescent="0.25">
      <c r="A63" s="184"/>
      <c r="B63" s="184"/>
      <c r="C63" s="184"/>
    </row>
    <row r="64" spans="1:3" x14ac:dyDescent="0.25">
      <c r="A64" s="184"/>
      <c r="B64" s="184"/>
      <c r="C64" s="184"/>
    </row>
    <row r="65" spans="1:3" x14ac:dyDescent="0.25">
      <c r="A65" s="184"/>
      <c r="B65" s="184"/>
      <c r="C65" s="184"/>
    </row>
    <row r="66" spans="1:3" x14ac:dyDescent="0.25">
      <c r="A66" s="184"/>
      <c r="B66" s="184"/>
      <c r="C66" s="184"/>
    </row>
    <row r="67" spans="1:3" x14ac:dyDescent="0.25">
      <c r="A67" s="184"/>
      <c r="B67" s="184"/>
      <c r="C67" s="184"/>
    </row>
    <row r="68" spans="1:3" x14ac:dyDescent="0.25">
      <c r="A68" s="184"/>
      <c r="B68" s="184"/>
      <c r="C68" s="184"/>
    </row>
    <row r="69" spans="1:3" x14ac:dyDescent="0.25">
      <c r="A69" s="184"/>
      <c r="B69" s="184"/>
      <c r="C69" s="184"/>
    </row>
    <row r="70" spans="1:3" x14ac:dyDescent="0.25">
      <c r="A70" s="184"/>
      <c r="B70" s="184"/>
      <c r="C70" s="184"/>
    </row>
    <row r="71" spans="1:3" x14ac:dyDescent="0.25">
      <c r="A71" s="184"/>
      <c r="B71" s="184"/>
      <c r="C71" s="184"/>
    </row>
    <row r="72" spans="1:3" x14ac:dyDescent="0.25">
      <c r="A72" s="184"/>
      <c r="B72" s="184"/>
      <c r="C72" s="184"/>
    </row>
    <row r="73" spans="1:3" x14ac:dyDescent="0.25">
      <c r="A73" s="184"/>
      <c r="B73" s="184"/>
      <c r="C73" s="184"/>
    </row>
    <row r="74" spans="1:3" x14ac:dyDescent="0.25">
      <c r="A74" s="184"/>
      <c r="B74" s="184"/>
      <c r="C74" s="184"/>
    </row>
    <row r="75" spans="1:3" x14ac:dyDescent="0.25">
      <c r="A75" s="184"/>
      <c r="B75" s="184"/>
      <c r="C75" s="184"/>
    </row>
    <row r="76" spans="1:3" x14ac:dyDescent="0.25">
      <c r="A76" s="184"/>
      <c r="B76" s="184"/>
      <c r="C76" s="184"/>
    </row>
    <row r="77" spans="1:3" x14ac:dyDescent="0.25">
      <c r="A77" s="184"/>
      <c r="B77" s="184"/>
      <c r="C77" s="184"/>
    </row>
    <row r="78" spans="1:3" x14ac:dyDescent="0.25">
      <c r="A78" s="184"/>
      <c r="B78" s="184"/>
      <c r="C78" s="184"/>
    </row>
    <row r="79" spans="1:3" x14ac:dyDescent="0.25">
      <c r="A79" s="184"/>
      <c r="B79" s="184"/>
      <c r="C79" s="184"/>
    </row>
    <row r="80" spans="1:3" x14ac:dyDescent="0.25">
      <c r="A80" s="184"/>
      <c r="B80" s="184"/>
      <c r="C80" s="184"/>
    </row>
    <row r="81" spans="1:3" x14ac:dyDescent="0.25">
      <c r="A81" s="184"/>
      <c r="B81" s="184"/>
      <c r="C81" s="184"/>
    </row>
    <row r="82" spans="1:3" x14ac:dyDescent="0.25">
      <c r="A82" s="184"/>
      <c r="B82" s="184"/>
      <c r="C82" s="184"/>
    </row>
    <row r="83" spans="1:3" x14ac:dyDescent="0.25">
      <c r="A83" s="184"/>
      <c r="B83" s="184"/>
      <c r="C83" s="184"/>
    </row>
    <row r="84" spans="1:3" x14ac:dyDescent="0.25">
      <c r="A84" s="184"/>
      <c r="B84" s="184"/>
      <c r="C84" s="184"/>
    </row>
    <row r="85" spans="1:3" x14ac:dyDescent="0.25">
      <c r="A85" s="184"/>
      <c r="B85" s="184"/>
      <c r="C85" s="184"/>
    </row>
    <row r="86" spans="1:3" x14ac:dyDescent="0.25">
      <c r="A86" s="184"/>
      <c r="B86" s="184"/>
      <c r="C86" s="184"/>
    </row>
    <row r="87" spans="1:3" x14ac:dyDescent="0.25">
      <c r="A87" s="184"/>
      <c r="B87" s="184"/>
      <c r="C87" s="184"/>
    </row>
    <row r="88" spans="1:3" x14ac:dyDescent="0.25">
      <c r="A88" s="184"/>
      <c r="B88" s="184"/>
      <c r="C88" s="184"/>
    </row>
    <row r="89" spans="1:3" x14ac:dyDescent="0.25">
      <c r="A89" s="184"/>
      <c r="B89" s="184"/>
      <c r="C89" s="184"/>
    </row>
    <row r="90" spans="1:3" x14ac:dyDescent="0.25">
      <c r="A90" s="184"/>
      <c r="B90" s="184"/>
      <c r="C90" s="184"/>
    </row>
    <row r="91" spans="1:3" x14ac:dyDescent="0.25">
      <c r="A91" s="184"/>
      <c r="B91" s="184"/>
      <c r="C91" s="184"/>
    </row>
    <row r="92" spans="1:3" x14ac:dyDescent="0.25">
      <c r="A92" s="184"/>
      <c r="B92" s="184"/>
      <c r="C92" s="184"/>
    </row>
    <row r="93" spans="1:3" x14ac:dyDescent="0.25">
      <c r="A93" s="184"/>
      <c r="B93" s="184"/>
      <c r="C93" s="184"/>
    </row>
    <row r="94" spans="1:3" x14ac:dyDescent="0.25">
      <c r="A94" s="184"/>
      <c r="B94" s="184"/>
      <c r="C94" s="184"/>
    </row>
    <row r="95" spans="1:3" x14ac:dyDescent="0.25">
      <c r="A95" s="184"/>
      <c r="B95" s="184"/>
      <c r="C95" s="184"/>
    </row>
    <row r="96" spans="1:3" x14ac:dyDescent="0.25">
      <c r="A96" s="184"/>
      <c r="B96" s="184"/>
      <c r="C96" s="184"/>
    </row>
    <row r="97" spans="1:3" x14ac:dyDescent="0.25">
      <c r="A97" s="184"/>
      <c r="B97" s="184"/>
      <c r="C97" s="184"/>
    </row>
    <row r="98" spans="1:3" x14ac:dyDescent="0.25">
      <c r="A98" s="184"/>
      <c r="B98" s="184"/>
      <c r="C98" s="184"/>
    </row>
    <row r="99" spans="1:3" x14ac:dyDescent="0.25">
      <c r="A99" s="184"/>
      <c r="B99" s="184"/>
      <c r="C99" s="184"/>
    </row>
    <row r="100" spans="1:3" x14ac:dyDescent="0.25">
      <c r="A100" s="184"/>
      <c r="B100" s="184"/>
      <c r="C100" s="184"/>
    </row>
    <row r="101" spans="1:3" x14ac:dyDescent="0.25">
      <c r="A101" s="184"/>
      <c r="B101" s="184"/>
      <c r="C101" s="184"/>
    </row>
    <row r="102" spans="1:3" x14ac:dyDescent="0.25">
      <c r="A102" s="184"/>
      <c r="B102" s="184"/>
      <c r="C102" s="184"/>
    </row>
    <row r="103" spans="1:3" x14ac:dyDescent="0.25">
      <c r="A103" s="184"/>
      <c r="B103" s="184"/>
      <c r="C103" s="184"/>
    </row>
    <row r="104" spans="1:3" x14ac:dyDescent="0.25">
      <c r="A104" s="184"/>
      <c r="B104" s="184"/>
      <c r="C104" s="184"/>
    </row>
    <row r="105" spans="1:3" x14ac:dyDescent="0.25">
      <c r="A105" s="184"/>
      <c r="B105" s="184"/>
      <c r="C105" s="184"/>
    </row>
    <row r="106" spans="1:3" x14ac:dyDescent="0.25">
      <c r="A106" s="184"/>
      <c r="B106" s="184"/>
      <c r="C106" s="184"/>
    </row>
    <row r="107" spans="1:3" x14ac:dyDescent="0.25">
      <c r="A107" s="184"/>
      <c r="B107" s="184"/>
      <c r="C107" s="184"/>
    </row>
    <row r="108" spans="1:3" x14ac:dyDescent="0.25">
      <c r="A108" s="184"/>
      <c r="B108" s="184"/>
      <c r="C108" s="184"/>
    </row>
    <row r="109" spans="1:3" x14ac:dyDescent="0.25">
      <c r="A109" s="184"/>
      <c r="B109" s="184"/>
      <c r="C109" s="184"/>
    </row>
    <row r="110" spans="1:3" x14ac:dyDescent="0.25">
      <c r="A110" s="184"/>
      <c r="B110" s="184"/>
      <c r="C110" s="184"/>
    </row>
    <row r="111" spans="1:3" x14ac:dyDescent="0.25">
      <c r="A111" s="184"/>
      <c r="B111" s="184"/>
      <c r="C111" s="184"/>
    </row>
    <row r="112" spans="1:3" x14ac:dyDescent="0.25">
      <c r="A112" s="184"/>
      <c r="B112" s="184"/>
      <c r="C112" s="184"/>
    </row>
    <row r="113" spans="1:3" x14ac:dyDescent="0.25">
      <c r="A113" s="184"/>
      <c r="B113" s="184"/>
      <c r="C113" s="184"/>
    </row>
    <row r="114" spans="1:3" x14ac:dyDescent="0.25">
      <c r="A114" s="184"/>
      <c r="B114" s="184"/>
      <c r="C114" s="184"/>
    </row>
    <row r="115" spans="1:3" x14ac:dyDescent="0.25">
      <c r="A115" s="184"/>
      <c r="B115" s="184"/>
      <c r="C115" s="184"/>
    </row>
    <row r="116" spans="1:3" x14ac:dyDescent="0.25">
      <c r="A116" s="184"/>
      <c r="B116" s="184"/>
      <c r="C116" s="184"/>
    </row>
    <row r="117" spans="1:3" x14ac:dyDescent="0.25">
      <c r="A117" s="184"/>
      <c r="B117" s="184"/>
      <c r="C117" s="184"/>
    </row>
    <row r="118" spans="1:3" x14ac:dyDescent="0.25">
      <c r="A118" s="184"/>
      <c r="B118" s="184"/>
      <c r="C118" s="184"/>
    </row>
    <row r="119" spans="1:3" x14ac:dyDescent="0.25">
      <c r="A119" s="184"/>
      <c r="B119" s="184"/>
      <c r="C119" s="184"/>
    </row>
    <row r="120" spans="1:3" x14ac:dyDescent="0.25">
      <c r="A120" s="184"/>
      <c r="B120" s="184"/>
      <c r="C120" s="184"/>
    </row>
    <row r="121" spans="1:3" x14ac:dyDescent="0.25">
      <c r="A121" s="184"/>
      <c r="B121" s="184"/>
      <c r="C121" s="184"/>
    </row>
    <row r="122" spans="1:3" x14ac:dyDescent="0.25">
      <c r="A122" s="184"/>
      <c r="B122" s="184"/>
      <c r="C122" s="184"/>
    </row>
    <row r="123" spans="1:3" x14ac:dyDescent="0.25">
      <c r="A123" s="184"/>
      <c r="B123" s="184"/>
      <c r="C123" s="184"/>
    </row>
    <row r="124" spans="1:3" x14ac:dyDescent="0.25">
      <c r="A124" s="184"/>
      <c r="B124" s="184"/>
      <c r="C124" s="184"/>
    </row>
    <row r="125" spans="1:3" x14ac:dyDescent="0.25">
      <c r="A125" s="184"/>
      <c r="B125" s="184"/>
      <c r="C125" s="184"/>
    </row>
    <row r="126" spans="1:3" x14ac:dyDescent="0.25">
      <c r="A126" s="184"/>
      <c r="B126" s="184"/>
      <c r="C126" s="184"/>
    </row>
    <row r="127" spans="1:3" x14ac:dyDescent="0.25">
      <c r="A127" s="184"/>
      <c r="B127" s="184"/>
      <c r="C127" s="184"/>
    </row>
    <row r="128" spans="1:3" x14ac:dyDescent="0.25">
      <c r="A128" s="184"/>
      <c r="B128" s="184"/>
      <c r="C128" s="184"/>
    </row>
    <row r="129" spans="1:3" x14ac:dyDescent="0.25">
      <c r="A129" s="184"/>
      <c r="B129" s="184"/>
      <c r="C129" s="184"/>
    </row>
    <row r="130" spans="1:3" x14ac:dyDescent="0.25">
      <c r="A130" s="184"/>
      <c r="B130" s="184"/>
      <c r="C130" s="184"/>
    </row>
    <row r="131" spans="1:3" x14ac:dyDescent="0.25">
      <c r="A131" s="184"/>
      <c r="B131" s="184"/>
      <c r="C131" s="184"/>
    </row>
    <row r="132" spans="1:3" x14ac:dyDescent="0.25">
      <c r="A132" s="184"/>
      <c r="B132" s="184"/>
      <c r="C132" s="184"/>
    </row>
    <row r="133" spans="1:3" x14ac:dyDescent="0.25">
      <c r="A133" s="184"/>
      <c r="B133" s="184"/>
      <c r="C133" s="184"/>
    </row>
    <row r="134" spans="1:3" x14ac:dyDescent="0.25">
      <c r="A134" s="184"/>
      <c r="B134" s="184"/>
      <c r="C134" s="184"/>
    </row>
    <row r="135" spans="1:3" x14ac:dyDescent="0.25">
      <c r="A135" s="184"/>
      <c r="B135" s="184"/>
      <c r="C135" s="184"/>
    </row>
    <row r="136" spans="1:3" x14ac:dyDescent="0.25">
      <c r="A136" s="184"/>
      <c r="B136" s="184"/>
      <c r="C136" s="184"/>
    </row>
    <row r="137" spans="1:3" x14ac:dyDescent="0.25">
      <c r="A137" s="184"/>
      <c r="B137" s="184"/>
      <c r="C137" s="184"/>
    </row>
    <row r="138" spans="1:3" x14ac:dyDescent="0.25">
      <c r="A138" s="184"/>
      <c r="B138" s="184"/>
      <c r="C138" s="184"/>
    </row>
    <row r="139" spans="1:3" x14ac:dyDescent="0.25">
      <c r="A139" s="184"/>
      <c r="B139" s="184"/>
      <c r="C139" s="184"/>
    </row>
    <row r="140" spans="1:3" x14ac:dyDescent="0.25">
      <c r="A140" s="184"/>
      <c r="B140" s="184"/>
      <c r="C140" s="184"/>
    </row>
    <row r="141" spans="1:3" x14ac:dyDescent="0.25">
      <c r="A141" s="184"/>
      <c r="B141" s="184"/>
      <c r="C141" s="184"/>
    </row>
    <row r="142" spans="1:3" x14ac:dyDescent="0.25">
      <c r="A142" s="184"/>
      <c r="B142" s="184"/>
      <c r="C142" s="184"/>
    </row>
    <row r="143" spans="1:3" x14ac:dyDescent="0.25">
      <c r="A143" s="184"/>
      <c r="B143" s="184"/>
      <c r="C143" s="184"/>
    </row>
    <row r="144" spans="1:3" x14ac:dyDescent="0.25">
      <c r="A144" s="184"/>
      <c r="B144" s="184"/>
      <c r="C144" s="184"/>
    </row>
    <row r="145" spans="1:3" x14ac:dyDescent="0.25">
      <c r="A145" s="184"/>
      <c r="B145" s="184"/>
      <c r="C145" s="184"/>
    </row>
    <row r="146" spans="1:3" x14ac:dyDescent="0.25">
      <c r="A146" s="184"/>
      <c r="B146" s="184"/>
      <c r="C146" s="184"/>
    </row>
    <row r="147" spans="1:3" x14ac:dyDescent="0.25">
      <c r="A147" s="184"/>
      <c r="B147" s="184"/>
      <c r="C147" s="184"/>
    </row>
    <row r="148" spans="1:3" x14ac:dyDescent="0.25">
      <c r="A148" s="184"/>
      <c r="B148" s="184"/>
      <c r="C148" s="184"/>
    </row>
    <row r="149" spans="1:3" x14ac:dyDescent="0.25">
      <c r="A149" s="184"/>
      <c r="B149" s="184"/>
      <c r="C149" s="184"/>
    </row>
    <row r="150" spans="1:3" x14ac:dyDescent="0.25">
      <c r="A150" s="184"/>
      <c r="B150" s="184"/>
      <c r="C150" s="184"/>
    </row>
    <row r="151" spans="1:3" x14ac:dyDescent="0.25">
      <c r="A151" s="184"/>
      <c r="B151" s="184"/>
      <c r="C151" s="184"/>
    </row>
    <row r="152" spans="1:3" x14ac:dyDescent="0.25">
      <c r="A152" s="184"/>
      <c r="B152" s="184"/>
      <c r="C152" s="184"/>
    </row>
    <row r="153" spans="1:3" x14ac:dyDescent="0.25">
      <c r="A153" s="184"/>
      <c r="B153" s="184"/>
      <c r="C153" s="184"/>
    </row>
    <row r="154" spans="1:3" x14ac:dyDescent="0.25">
      <c r="A154" s="184"/>
      <c r="B154" s="184"/>
      <c r="C154" s="184"/>
    </row>
    <row r="155" spans="1:3" x14ac:dyDescent="0.25">
      <c r="A155" s="184"/>
      <c r="B155" s="184"/>
      <c r="C155" s="184"/>
    </row>
    <row r="156" spans="1:3" x14ac:dyDescent="0.25">
      <c r="A156" s="184"/>
      <c r="B156" s="184"/>
      <c r="C156" s="184"/>
    </row>
    <row r="157" spans="1:3" x14ac:dyDescent="0.25">
      <c r="A157" s="184"/>
      <c r="B157" s="184"/>
      <c r="C157" s="184"/>
    </row>
    <row r="158" spans="1:3" x14ac:dyDescent="0.25">
      <c r="A158" s="184"/>
      <c r="B158" s="184"/>
      <c r="C158" s="184"/>
    </row>
    <row r="159" spans="1:3" x14ac:dyDescent="0.25">
      <c r="A159" s="184"/>
      <c r="B159" s="184"/>
      <c r="C159" s="184"/>
    </row>
    <row r="160" spans="1:3" x14ac:dyDescent="0.25">
      <c r="A160" s="184"/>
      <c r="B160" s="184"/>
      <c r="C160" s="184"/>
    </row>
    <row r="161" spans="1:3" x14ac:dyDescent="0.25">
      <c r="A161" s="184"/>
      <c r="B161" s="184"/>
      <c r="C161" s="184"/>
    </row>
    <row r="162" spans="1:3" x14ac:dyDescent="0.25">
      <c r="A162" s="184"/>
      <c r="B162" s="184"/>
      <c r="C162" s="184"/>
    </row>
    <row r="163" spans="1:3" x14ac:dyDescent="0.25">
      <c r="A163" s="184"/>
      <c r="B163" s="184"/>
      <c r="C163" s="184"/>
    </row>
    <row r="164" spans="1:3" x14ac:dyDescent="0.25">
      <c r="A164" s="184"/>
      <c r="B164" s="184"/>
      <c r="C164" s="184"/>
    </row>
    <row r="165" spans="1:3" x14ac:dyDescent="0.25">
      <c r="A165" s="184"/>
      <c r="B165" s="184"/>
      <c r="C165" s="184"/>
    </row>
    <row r="166" spans="1:3" x14ac:dyDescent="0.25">
      <c r="A166" s="184"/>
      <c r="B166" s="184"/>
      <c r="C166" s="184"/>
    </row>
    <row r="167" spans="1:3" x14ac:dyDescent="0.25">
      <c r="A167" s="184"/>
      <c r="B167" s="184"/>
      <c r="C167" s="184"/>
    </row>
    <row r="168" spans="1:3" x14ac:dyDescent="0.25">
      <c r="A168" s="184"/>
      <c r="B168" s="184"/>
      <c r="C168" s="184"/>
    </row>
    <row r="169" spans="1:3" x14ac:dyDescent="0.25">
      <c r="A169" s="184"/>
      <c r="B169" s="184"/>
      <c r="C169" s="184"/>
    </row>
    <row r="170" spans="1:3" x14ac:dyDescent="0.25">
      <c r="A170" s="184"/>
      <c r="B170" s="184"/>
      <c r="C170" s="184"/>
    </row>
    <row r="171" spans="1:3" x14ac:dyDescent="0.25">
      <c r="A171" s="184"/>
      <c r="B171" s="184"/>
      <c r="C171" s="184"/>
    </row>
    <row r="172" spans="1:3" x14ac:dyDescent="0.25">
      <c r="A172" s="184"/>
      <c r="B172" s="184"/>
      <c r="C172" s="184"/>
    </row>
    <row r="173" spans="1:3" x14ac:dyDescent="0.25">
      <c r="A173" s="184"/>
      <c r="B173" s="184"/>
      <c r="C173" s="184"/>
    </row>
    <row r="174" spans="1:3" x14ac:dyDescent="0.25">
      <c r="A174" s="184"/>
      <c r="B174" s="184"/>
      <c r="C174" s="184"/>
    </row>
    <row r="175" spans="1:3" x14ac:dyDescent="0.25">
      <c r="A175" s="184"/>
      <c r="B175" s="184"/>
      <c r="C175" s="184"/>
    </row>
    <row r="176" spans="1:3" x14ac:dyDescent="0.25">
      <c r="A176" s="184"/>
      <c r="B176" s="184"/>
      <c r="C176" s="184"/>
    </row>
    <row r="177" spans="1:3" x14ac:dyDescent="0.25">
      <c r="A177" s="184"/>
      <c r="B177" s="184"/>
      <c r="C177" s="184"/>
    </row>
    <row r="178" spans="1:3" x14ac:dyDescent="0.25">
      <c r="A178" s="184"/>
      <c r="B178" s="184"/>
      <c r="C178" s="184"/>
    </row>
    <row r="179" spans="1:3" x14ac:dyDescent="0.25">
      <c r="A179" s="184"/>
      <c r="B179" s="184"/>
      <c r="C179" s="184"/>
    </row>
    <row r="180" spans="1:3" x14ac:dyDescent="0.25">
      <c r="A180" s="184"/>
      <c r="B180" s="184"/>
      <c r="C180" s="184"/>
    </row>
    <row r="181" spans="1:3" x14ac:dyDescent="0.25">
      <c r="A181" s="184"/>
      <c r="B181" s="184"/>
      <c r="C181" s="184"/>
    </row>
    <row r="182" spans="1:3" x14ac:dyDescent="0.25">
      <c r="A182" s="184"/>
      <c r="B182" s="184"/>
      <c r="C182" s="184"/>
    </row>
    <row r="183" spans="1:3" x14ac:dyDescent="0.25">
      <c r="A183" s="184"/>
      <c r="B183" s="184"/>
      <c r="C183" s="184"/>
    </row>
    <row r="184" spans="1:3" x14ac:dyDescent="0.25">
      <c r="A184" s="184"/>
      <c r="B184" s="184"/>
      <c r="C184" s="184"/>
    </row>
    <row r="185" spans="1:3" x14ac:dyDescent="0.25">
      <c r="A185" s="184"/>
      <c r="B185" s="184"/>
      <c r="C185" s="184"/>
    </row>
    <row r="186" spans="1:3" x14ac:dyDescent="0.25">
      <c r="A186" s="184"/>
      <c r="B186" s="184"/>
      <c r="C186" s="184"/>
    </row>
    <row r="187" spans="1:3" x14ac:dyDescent="0.25">
      <c r="A187" s="184"/>
      <c r="B187" s="184"/>
      <c r="C187" s="184"/>
    </row>
    <row r="188" spans="1:3" x14ac:dyDescent="0.25">
      <c r="A188" s="184"/>
      <c r="B188" s="184"/>
      <c r="C188" s="184"/>
    </row>
    <row r="189" spans="1:3" x14ac:dyDescent="0.25">
      <c r="A189" s="184"/>
      <c r="B189" s="184"/>
      <c r="C189" s="184"/>
    </row>
    <row r="190" spans="1:3" x14ac:dyDescent="0.25">
      <c r="A190" s="184"/>
      <c r="B190" s="184"/>
      <c r="C190" s="184"/>
    </row>
    <row r="191" spans="1:3" x14ac:dyDescent="0.25">
      <c r="A191" s="184"/>
      <c r="B191" s="184"/>
      <c r="C191" s="184"/>
    </row>
    <row r="192" spans="1:3" x14ac:dyDescent="0.25">
      <c r="A192" s="184"/>
      <c r="B192" s="184"/>
      <c r="C192" s="184"/>
    </row>
    <row r="193" spans="1:3" x14ac:dyDescent="0.25">
      <c r="A193" s="184"/>
      <c r="B193" s="184"/>
      <c r="C193" s="184"/>
    </row>
    <row r="194" spans="1:3" x14ac:dyDescent="0.25">
      <c r="A194" s="184"/>
      <c r="B194" s="184"/>
      <c r="C194" s="184"/>
    </row>
    <row r="195" spans="1:3" x14ac:dyDescent="0.25">
      <c r="A195" s="184"/>
      <c r="B195" s="184"/>
      <c r="C195" s="184"/>
    </row>
    <row r="196" spans="1:3" x14ac:dyDescent="0.25">
      <c r="A196" s="184"/>
      <c r="B196" s="184"/>
      <c r="C196" s="184"/>
    </row>
    <row r="197" spans="1:3" x14ac:dyDescent="0.25">
      <c r="A197" s="184"/>
      <c r="B197" s="184"/>
      <c r="C197" s="184"/>
    </row>
    <row r="198" spans="1:3" x14ac:dyDescent="0.25">
      <c r="A198" s="184"/>
      <c r="B198" s="184"/>
      <c r="C198" s="184"/>
    </row>
    <row r="199" spans="1:3" x14ac:dyDescent="0.25">
      <c r="A199" s="184"/>
      <c r="B199" s="184"/>
      <c r="C199" s="184"/>
    </row>
    <row r="200" spans="1:3" x14ac:dyDescent="0.25">
      <c r="A200" s="184"/>
      <c r="B200" s="184"/>
      <c r="C200" s="1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0"/>
  <sheetViews>
    <sheetView workbookViewId="0">
      <selection activeCell="I27" sqref="I27"/>
    </sheetView>
  </sheetViews>
  <sheetFormatPr defaultRowHeight="15" x14ac:dyDescent="0.25"/>
  <cols>
    <col min="3" max="3" width="50.42578125" customWidth="1"/>
    <col min="4" max="4" width="23.7109375" customWidth="1"/>
    <col min="5" max="5" width="55" customWidth="1"/>
  </cols>
  <sheetData>
    <row r="2" spans="3:5" ht="26.25" x14ac:dyDescent="0.4">
      <c r="C2" s="219" t="s">
        <v>51</v>
      </c>
      <c r="D2" s="220"/>
      <c r="E2" s="221"/>
    </row>
    <row r="4" spans="3:5" ht="18.75" x14ac:dyDescent="0.3">
      <c r="C4" s="141" t="s">
        <v>46</v>
      </c>
      <c r="D4" s="141" t="s">
        <v>47</v>
      </c>
      <c r="E4" s="141" t="s">
        <v>52</v>
      </c>
    </row>
    <row r="40" spans="2:5" ht="18.75" x14ac:dyDescent="0.3">
      <c r="B40" s="142"/>
      <c r="C40" s="140" t="s">
        <v>50</v>
      </c>
      <c r="D40" s="142"/>
      <c r="E40" s="143">
        <f>SUM(E5:E39)</f>
        <v>0</v>
      </c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0"/>
  <sheetViews>
    <sheetView topLeftCell="A7" workbookViewId="0">
      <selection activeCell="B40" sqref="B40"/>
    </sheetView>
  </sheetViews>
  <sheetFormatPr defaultRowHeight="15" x14ac:dyDescent="0.25"/>
  <cols>
    <col min="1" max="1" width="56" customWidth="1"/>
    <col min="2" max="2" width="21.42578125" style="134" customWidth="1"/>
    <col min="4" max="4" width="51.85546875" customWidth="1"/>
    <col min="5" max="5" width="19" style="135" customWidth="1"/>
  </cols>
  <sheetData>
    <row r="2" spans="1:5" x14ac:dyDescent="0.25">
      <c r="A2" s="222" t="s">
        <v>48</v>
      </c>
      <c r="B2" s="222"/>
      <c r="D2" s="222" t="s">
        <v>49</v>
      </c>
      <c r="E2" s="222"/>
    </row>
    <row r="4" spans="1:5" x14ac:dyDescent="0.25">
      <c r="A4" s="130" t="s">
        <v>46</v>
      </c>
      <c r="B4" s="137" t="s">
        <v>47</v>
      </c>
      <c r="D4" s="131" t="s">
        <v>46</v>
      </c>
      <c r="E4" s="136" t="s">
        <v>47</v>
      </c>
    </row>
    <row r="40" spans="1:5" x14ac:dyDescent="0.25">
      <c r="A40" s="132" t="s">
        <v>50</v>
      </c>
      <c r="B40" s="138">
        <f>-SUM(B5:B39)</f>
        <v>0</v>
      </c>
      <c r="D40" s="133" t="s">
        <v>50</v>
      </c>
      <c r="E40" s="139">
        <f>-SUM(E5:E39)</f>
        <v>0</v>
      </c>
    </row>
  </sheetData>
  <mergeCells count="2">
    <mergeCell ref="A2:B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2:I24"/>
  <sheetViews>
    <sheetView workbookViewId="0">
      <selection activeCell="I24" sqref="I24"/>
    </sheetView>
  </sheetViews>
  <sheetFormatPr defaultRowHeight="15" x14ac:dyDescent="0.25"/>
  <cols>
    <col min="5" max="5" width="14" style="186" customWidth="1"/>
    <col min="6" max="6" width="15.42578125" style="188" customWidth="1"/>
    <col min="7" max="7" width="12.42578125" style="186" customWidth="1"/>
    <col min="8" max="8" width="23.28515625" style="186" customWidth="1"/>
    <col min="9" max="9" width="22" style="186" customWidth="1"/>
  </cols>
  <sheetData>
    <row r="2" spans="5:9" ht="23.25" x14ac:dyDescent="0.35">
      <c r="E2" s="223" t="s">
        <v>53</v>
      </c>
      <c r="F2" s="223"/>
      <c r="H2" s="187" t="s">
        <v>54</v>
      </c>
    </row>
    <row r="3" spans="5:9" x14ac:dyDescent="0.25">
      <c r="H3" s="189">
        <f>YEAR(LIQUIDA!C13)</f>
        <v>2019</v>
      </c>
    </row>
    <row r="4" spans="5:9" x14ac:dyDescent="0.25">
      <c r="E4" s="190">
        <v>2000</v>
      </c>
      <c r="F4" s="191">
        <v>37.9</v>
      </c>
      <c r="H4" s="189">
        <f>YEAR(LIQUIDA!C19)</f>
        <v>1900</v>
      </c>
    </row>
    <row r="5" spans="5:9" x14ac:dyDescent="0.25">
      <c r="E5" s="190">
        <f>+E4+1</f>
        <v>2001</v>
      </c>
      <c r="F5" s="191">
        <v>40.35</v>
      </c>
      <c r="H5" s="192">
        <f>IF(LIQUIDA!AA5="REINSTALACION",'Salarios Minimos'!H3,'Salarios Minimos'!H4)</f>
        <v>2019</v>
      </c>
    </row>
    <row r="6" spans="5:9" x14ac:dyDescent="0.25">
      <c r="E6" s="190">
        <f t="shared" ref="E6:E21" si="0">+E5+1</f>
        <v>2002</v>
      </c>
      <c r="F6" s="191">
        <v>42.15</v>
      </c>
    </row>
    <row r="7" spans="5:9" x14ac:dyDescent="0.25">
      <c r="E7" s="190">
        <f t="shared" si="0"/>
        <v>2003</v>
      </c>
      <c r="F7" s="193">
        <v>43.65</v>
      </c>
    </row>
    <row r="8" spans="5:9" x14ac:dyDescent="0.25">
      <c r="E8" s="190">
        <f t="shared" si="0"/>
        <v>2004</v>
      </c>
      <c r="F8" s="194">
        <v>45.24</v>
      </c>
      <c r="H8" s="195" t="s">
        <v>55</v>
      </c>
    </row>
    <row r="9" spans="5:9" x14ac:dyDescent="0.25">
      <c r="E9" s="190">
        <f t="shared" si="0"/>
        <v>2005</v>
      </c>
      <c r="F9" s="194">
        <v>46.8</v>
      </c>
    </row>
    <row r="10" spans="5:9" x14ac:dyDescent="0.25">
      <c r="E10" s="190">
        <f t="shared" si="0"/>
        <v>2006</v>
      </c>
      <c r="F10" s="196">
        <v>48.67</v>
      </c>
      <c r="H10" s="197">
        <f>VLOOKUP(H5,E4:F24,2)</f>
        <v>102.68</v>
      </c>
    </row>
    <row r="11" spans="5:9" x14ac:dyDescent="0.25">
      <c r="E11" s="190">
        <f t="shared" si="0"/>
        <v>2007</v>
      </c>
      <c r="F11" s="194">
        <v>50.57</v>
      </c>
      <c r="H11" s="197">
        <f>VLOOKUP(H5,E5:G25,3)</f>
        <v>176.72</v>
      </c>
      <c r="I11" s="198" t="s">
        <v>84</v>
      </c>
    </row>
    <row r="12" spans="5:9" x14ac:dyDescent="0.25">
      <c r="E12" s="190">
        <f t="shared" si="0"/>
        <v>2008</v>
      </c>
      <c r="F12" s="194">
        <v>52.59</v>
      </c>
    </row>
    <row r="13" spans="5:9" x14ac:dyDescent="0.25">
      <c r="E13" s="190">
        <f t="shared" si="0"/>
        <v>2009</v>
      </c>
      <c r="F13" s="196">
        <v>54.8</v>
      </c>
    </row>
    <row r="14" spans="5:9" x14ac:dyDescent="0.25">
      <c r="E14" s="190">
        <f t="shared" si="0"/>
        <v>2010</v>
      </c>
      <c r="F14" s="194">
        <v>57.46</v>
      </c>
    </row>
    <row r="15" spans="5:9" x14ac:dyDescent="0.25">
      <c r="E15" s="190">
        <f t="shared" si="0"/>
        <v>2011</v>
      </c>
      <c r="F15" s="196">
        <v>59.82</v>
      </c>
    </row>
    <row r="16" spans="5:9" x14ac:dyDescent="0.25">
      <c r="E16" s="190">
        <f t="shared" si="0"/>
        <v>2012</v>
      </c>
      <c r="F16" s="194">
        <v>62.33</v>
      </c>
    </row>
    <row r="17" spans="5:7" x14ac:dyDescent="0.25">
      <c r="E17" s="190">
        <f t="shared" si="0"/>
        <v>2013</v>
      </c>
      <c r="F17" s="196">
        <v>64.760000000000005</v>
      </c>
    </row>
    <row r="18" spans="5:7" x14ac:dyDescent="0.25">
      <c r="E18" s="190">
        <f t="shared" si="0"/>
        <v>2014</v>
      </c>
      <c r="F18" s="196">
        <v>67.290000000000006</v>
      </c>
    </row>
    <row r="19" spans="5:7" x14ac:dyDescent="0.25">
      <c r="E19" s="190">
        <f t="shared" si="0"/>
        <v>2015</v>
      </c>
      <c r="F19" s="196">
        <v>70.099999999999994</v>
      </c>
    </row>
    <row r="20" spans="5:7" x14ac:dyDescent="0.25">
      <c r="E20" s="190">
        <f t="shared" si="0"/>
        <v>2016</v>
      </c>
      <c r="F20" s="196">
        <v>73.040000000000006</v>
      </c>
    </row>
    <row r="21" spans="5:7" x14ac:dyDescent="0.25">
      <c r="E21" s="190">
        <f t="shared" si="0"/>
        <v>2017</v>
      </c>
      <c r="F21" s="199">
        <v>80.040000000000006</v>
      </c>
    </row>
    <row r="22" spans="5:7" x14ac:dyDescent="0.25">
      <c r="E22" s="190">
        <v>2018</v>
      </c>
      <c r="F22" s="200">
        <v>88.36</v>
      </c>
    </row>
    <row r="23" spans="5:7" x14ac:dyDescent="0.25">
      <c r="E23" s="190">
        <v>2019</v>
      </c>
      <c r="F23" s="200">
        <v>102.68</v>
      </c>
      <c r="G23" s="186">
        <v>176.72</v>
      </c>
    </row>
    <row r="24" spans="5:7" x14ac:dyDescent="0.25">
      <c r="E24" s="190">
        <v>2020</v>
      </c>
      <c r="F24" s="200"/>
    </row>
  </sheetData>
  <sheetProtection password="DF5E" sheet="1" objects="1" scenarios="1"/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LIQUIDA</vt:lpstr>
      <vt:lpstr>Integrado</vt:lpstr>
      <vt:lpstr>Salario Integrado</vt:lpstr>
      <vt:lpstr>Adeudos</vt:lpstr>
      <vt:lpstr>Salarios Minimos</vt:lpstr>
      <vt:lpstr>Acciones</vt:lpstr>
      <vt:lpstr>Acciones1</vt:lpstr>
      <vt:lpstr>LIQUIDA!Print_Area</vt:lpstr>
      <vt:lpstr>LIQUIDA!Print_Area_MI</vt:lpstr>
      <vt:lpstr>Reinstalacion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</dc:creator>
  <cp:lastModifiedBy>ARA</cp:lastModifiedBy>
  <cp:lastPrinted>2017-05-02T01:47:51Z</cp:lastPrinted>
  <dcterms:created xsi:type="dcterms:W3CDTF">2010-03-16T17:37:26Z</dcterms:created>
  <dcterms:modified xsi:type="dcterms:W3CDTF">2019-02-08T02:00:54Z</dcterms:modified>
</cp:coreProperties>
</file>